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Organizing\Kaiser LAMC\Research Data Background Info\"/>
    </mc:Choice>
  </mc:AlternateContent>
  <bookViews>
    <workbookView xWindow="0" yWindow="615" windowWidth="15570" windowHeight="8835"/>
  </bookViews>
  <sheets>
    <sheet name="NUHW to UNAC Conversion" sheetId="6" r:id="rId1"/>
    <sheet name="UNAC-UHCP" sheetId="7" r:id="rId2"/>
    <sheet name="Conv. Calc.(Save)" sheetId="4" r:id="rId3"/>
    <sheet name="UNAC Calc.(Save)" sheetId="8" r:id="rId4"/>
    <sheet name="Money Lost Calc.(Save)" sheetId="2" r:id="rId5"/>
    <sheet name="NUHW Money Lost" sheetId="1" r:id="rId6"/>
    <sheet name="Sheet1" sheetId="9" r:id="rId7"/>
    <sheet name="Sheet2" sheetId="10" r:id="rId8"/>
  </sheets>
  <calcPr calcId="152511"/>
</workbook>
</file>

<file path=xl/calcChain.xml><?xml version="1.0" encoding="utf-8"?>
<calcChain xmlns="http://schemas.openxmlformats.org/spreadsheetml/2006/main">
  <c r="AO72" i="4" l="1"/>
  <c r="AO79" i="4"/>
  <c r="AB72" i="4"/>
  <c r="AB76" i="4"/>
  <c r="AO76" i="4" s="1"/>
  <c r="AB77" i="4"/>
  <c r="AO77" i="4" s="1"/>
  <c r="AB78" i="4"/>
  <c r="AO78" i="4" s="1"/>
  <c r="AB79" i="4"/>
  <c r="AB69" i="4"/>
  <c r="AO69" i="4" s="1"/>
  <c r="AB70" i="4"/>
  <c r="AO70" i="4" s="1"/>
  <c r="AB71" i="4"/>
  <c r="AO71" i="4" s="1"/>
  <c r="AF13" i="4" l="1"/>
  <c r="Z31" i="8" l="1"/>
  <c r="AC33" i="4"/>
  <c r="AI11" i="8" l="1"/>
  <c r="AH28" i="8"/>
  <c r="AH29" i="8"/>
  <c r="AH30" i="8"/>
  <c r="AH31" i="8"/>
  <c r="AH32" i="8"/>
  <c r="AH27" i="8"/>
  <c r="AH21" i="8"/>
  <c r="AH26" i="8"/>
  <c r="AH22" i="8"/>
  <c r="AH23" i="8"/>
  <c r="AH24" i="8"/>
  <c r="AH25" i="8"/>
  <c r="AH15" i="8"/>
  <c r="AH16" i="8"/>
  <c r="AH17" i="8"/>
  <c r="AH18" i="8"/>
  <c r="AH19" i="8"/>
  <c r="AH20" i="8"/>
  <c r="K29" i="8"/>
  <c r="K47" i="8" s="1"/>
  <c r="K66" i="8" s="1"/>
  <c r="AI12" i="8" l="1"/>
  <c r="AC17" i="8"/>
  <c r="AF12" i="8"/>
  <c r="AA5" i="8"/>
  <c r="AA10" i="8"/>
  <c r="AF26" i="8"/>
  <c r="AE26" i="8"/>
  <c r="AF25" i="8"/>
  <c r="AE25" i="8"/>
  <c r="AF24" i="8"/>
  <c r="AE24" i="8"/>
  <c r="AF23" i="8"/>
  <c r="AE23" i="8"/>
  <c r="AF22" i="8"/>
  <c r="AE22" i="8"/>
  <c r="AF21" i="8"/>
  <c r="AE21" i="8"/>
  <c r="AF20" i="8"/>
  <c r="AE20" i="8"/>
  <c r="AF19" i="8"/>
  <c r="AE19" i="8"/>
  <c r="AF18" i="8"/>
  <c r="AE18" i="8"/>
  <c r="AF17" i="8"/>
  <c r="AE17" i="8"/>
  <c r="AF16" i="8"/>
  <c r="AE16" i="8"/>
  <c r="AF15" i="8"/>
  <c r="AE15" i="8"/>
  <c r="AC13" i="8"/>
  <c r="X58" i="8"/>
  <c r="W58" i="8"/>
  <c r="V58" i="8"/>
  <c r="U58" i="8"/>
  <c r="T58" i="8"/>
  <c r="S58" i="8"/>
  <c r="R58" i="8"/>
  <c r="Q58" i="8"/>
  <c r="P58" i="8"/>
  <c r="O58" i="8"/>
  <c r="X39" i="8"/>
  <c r="W39" i="8"/>
  <c r="V39" i="8"/>
  <c r="U39" i="8"/>
  <c r="T39" i="8"/>
  <c r="S39" i="8"/>
  <c r="R39" i="8"/>
  <c r="Q39" i="8"/>
  <c r="P39" i="8"/>
  <c r="O39" i="8"/>
  <c r="K35" i="8"/>
  <c r="K53" i="8" s="1"/>
  <c r="K72" i="8" s="1"/>
  <c r="X34" i="8"/>
  <c r="X52" i="8" s="1"/>
  <c r="X71" i="8" s="1"/>
  <c r="W34" i="8"/>
  <c r="W52" i="8" s="1"/>
  <c r="W71" i="8" s="1"/>
  <c r="V34" i="8"/>
  <c r="V52" i="8" s="1"/>
  <c r="V71" i="8" s="1"/>
  <c r="U34" i="8"/>
  <c r="U52" i="8" s="1"/>
  <c r="U71" i="8" s="1"/>
  <c r="T34" i="8"/>
  <c r="T52" i="8" s="1"/>
  <c r="T71" i="8" s="1"/>
  <c r="S34" i="8"/>
  <c r="S52" i="8" s="1"/>
  <c r="S71" i="8" s="1"/>
  <c r="R34" i="8"/>
  <c r="R52" i="8" s="1"/>
  <c r="R71" i="8" s="1"/>
  <c r="Q34" i="8"/>
  <c r="Q52" i="8" s="1"/>
  <c r="Q71" i="8" s="1"/>
  <c r="P34" i="8"/>
  <c r="P52" i="8" s="1"/>
  <c r="P71" i="8" s="1"/>
  <c r="O34" i="8"/>
  <c r="O52" i="8" s="1"/>
  <c r="O71" i="8" s="1"/>
  <c r="N34" i="8"/>
  <c r="N52" i="8" s="1"/>
  <c r="N71" i="8" s="1"/>
  <c r="M34" i="8"/>
  <c r="M52" i="8" s="1"/>
  <c r="M71" i="8" s="1"/>
  <c r="X33" i="8"/>
  <c r="X51" i="8" s="1"/>
  <c r="X70" i="8" s="1"/>
  <c r="W33" i="8"/>
  <c r="W51" i="8" s="1"/>
  <c r="W70" i="8" s="1"/>
  <c r="V33" i="8"/>
  <c r="V51" i="8" s="1"/>
  <c r="V70" i="8" s="1"/>
  <c r="U33" i="8"/>
  <c r="U51" i="8" s="1"/>
  <c r="U70" i="8" s="1"/>
  <c r="T33" i="8"/>
  <c r="T51" i="8" s="1"/>
  <c r="T70" i="8" s="1"/>
  <c r="S33" i="8"/>
  <c r="S51" i="8" s="1"/>
  <c r="S70" i="8" s="1"/>
  <c r="R33" i="8"/>
  <c r="R51" i="8" s="1"/>
  <c r="R70" i="8" s="1"/>
  <c r="Q33" i="8"/>
  <c r="Q51" i="8" s="1"/>
  <c r="Q70" i="8" s="1"/>
  <c r="P33" i="8"/>
  <c r="P51" i="8" s="1"/>
  <c r="P70" i="8" s="1"/>
  <c r="O33" i="8"/>
  <c r="O51" i="8" s="1"/>
  <c r="O70" i="8" s="1"/>
  <c r="N33" i="8"/>
  <c r="N51" i="8" s="1"/>
  <c r="N70" i="8" s="1"/>
  <c r="M33" i="8"/>
  <c r="M51" i="8" s="1"/>
  <c r="M70" i="8" s="1"/>
  <c r="X32" i="8"/>
  <c r="X50" i="8" s="1"/>
  <c r="X69" i="8" s="1"/>
  <c r="W32" i="8"/>
  <c r="W50" i="8" s="1"/>
  <c r="W69" i="8" s="1"/>
  <c r="V32" i="8"/>
  <c r="V50" i="8" s="1"/>
  <c r="V69" i="8" s="1"/>
  <c r="U32" i="8"/>
  <c r="U50" i="8" s="1"/>
  <c r="U69" i="8" s="1"/>
  <c r="T32" i="8"/>
  <c r="T50" i="8" s="1"/>
  <c r="T69" i="8" s="1"/>
  <c r="S32" i="8"/>
  <c r="S50" i="8" s="1"/>
  <c r="S69" i="8" s="1"/>
  <c r="R32" i="8"/>
  <c r="R50" i="8" s="1"/>
  <c r="R69" i="8" s="1"/>
  <c r="Q32" i="8"/>
  <c r="Q50" i="8" s="1"/>
  <c r="Q69" i="8" s="1"/>
  <c r="P32" i="8"/>
  <c r="P50" i="8" s="1"/>
  <c r="P69" i="8" s="1"/>
  <c r="O32" i="8"/>
  <c r="O50" i="8" s="1"/>
  <c r="O69" i="8" s="1"/>
  <c r="N32" i="8"/>
  <c r="N50" i="8" s="1"/>
  <c r="N69" i="8" s="1"/>
  <c r="M32" i="8"/>
  <c r="M50" i="8" s="1"/>
  <c r="M69" i="8" s="1"/>
  <c r="X31" i="8"/>
  <c r="X49" i="8" s="1"/>
  <c r="X68" i="8" s="1"/>
  <c r="W31" i="8"/>
  <c r="W49" i="8" s="1"/>
  <c r="W68" i="8" s="1"/>
  <c r="V31" i="8"/>
  <c r="V49" i="8" s="1"/>
  <c r="V68" i="8" s="1"/>
  <c r="U31" i="8"/>
  <c r="U49" i="8" s="1"/>
  <c r="U68" i="8" s="1"/>
  <c r="T31" i="8"/>
  <c r="T49" i="8" s="1"/>
  <c r="T68" i="8" s="1"/>
  <c r="S31" i="8"/>
  <c r="S49" i="8" s="1"/>
  <c r="S68" i="8" s="1"/>
  <c r="R31" i="8"/>
  <c r="R49" i="8" s="1"/>
  <c r="R68" i="8" s="1"/>
  <c r="Q31" i="8"/>
  <c r="Q49" i="8" s="1"/>
  <c r="Q68" i="8" s="1"/>
  <c r="P31" i="8"/>
  <c r="P49" i="8" s="1"/>
  <c r="P68" i="8" s="1"/>
  <c r="O31" i="8"/>
  <c r="O49" i="8" s="1"/>
  <c r="O68" i="8" s="1"/>
  <c r="N31" i="8"/>
  <c r="N49" i="8" s="1"/>
  <c r="N68" i="8" s="1"/>
  <c r="M31" i="8"/>
  <c r="M49" i="8" s="1"/>
  <c r="M68" i="8" s="1"/>
  <c r="X30" i="8"/>
  <c r="X48" i="8" s="1"/>
  <c r="X67" i="8" s="1"/>
  <c r="W30" i="8"/>
  <c r="W48" i="8" s="1"/>
  <c r="W67" i="8" s="1"/>
  <c r="V30" i="8"/>
  <c r="V48" i="8" s="1"/>
  <c r="V67" i="8" s="1"/>
  <c r="U30" i="8"/>
  <c r="U48" i="8" s="1"/>
  <c r="U67" i="8" s="1"/>
  <c r="T30" i="8"/>
  <c r="T48" i="8" s="1"/>
  <c r="T67" i="8" s="1"/>
  <c r="S30" i="8"/>
  <c r="S48" i="8" s="1"/>
  <c r="S67" i="8" s="1"/>
  <c r="R30" i="8"/>
  <c r="R48" i="8" s="1"/>
  <c r="R67" i="8" s="1"/>
  <c r="Q30" i="8"/>
  <c r="Q48" i="8" s="1"/>
  <c r="Q67" i="8" s="1"/>
  <c r="P30" i="8"/>
  <c r="P48" i="8" s="1"/>
  <c r="P67" i="8" s="1"/>
  <c r="O30" i="8"/>
  <c r="O48" i="8" s="1"/>
  <c r="O67" i="8" s="1"/>
  <c r="N30" i="8"/>
  <c r="N48" i="8" s="1"/>
  <c r="N67" i="8" s="1"/>
  <c r="M30" i="8"/>
  <c r="M48" i="8" s="1"/>
  <c r="M67" i="8" s="1"/>
  <c r="L30" i="8"/>
  <c r="L48" i="8" s="1"/>
  <c r="L67" i="8" s="1"/>
  <c r="X29" i="8"/>
  <c r="X47" i="8" s="1"/>
  <c r="X66" i="8" s="1"/>
  <c r="W29" i="8"/>
  <c r="W47" i="8" s="1"/>
  <c r="W66" i="8" s="1"/>
  <c r="V29" i="8"/>
  <c r="V47" i="8" s="1"/>
  <c r="V66" i="8" s="1"/>
  <c r="U29" i="8"/>
  <c r="U47" i="8" s="1"/>
  <c r="U66" i="8" s="1"/>
  <c r="T29" i="8"/>
  <c r="T47" i="8" s="1"/>
  <c r="T66" i="8" s="1"/>
  <c r="S29" i="8"/>
  <c r="S47" i="8" s="1"/>
  <c r="S66" i="8" s="1"/>
  <c r="R29" i="8"/>
  <c r="R47" i="8" s="1"/>
  <c r="R66" i="8" s="1"/>
  <c r="Q29" i="8"/>
  <c r="Q47" i="8" s="1"/>
  <c r="Q66" i="8" s="1"/>
  <c r="P29" i="8"/>
  <c r="P47" i="8" s="1"/>
  <c r="P66" i="8" s="1"/>
  <c r="O29" i="8"/>
  <c r="O47" i="8" s="1"/>
  <c r="O66" i="8" s="1"/>
  <c r="N29" i="8"/>
  <c r="N47" i="8" s="1"/>
  <c r="N66" i="8" s="1"/>
  <c r="M29" i="8"/>
  <c r="M47" i="8" s="1"/>
  <c r="M66" i="8" s="1"/>
  <c r="L29" i="8"/>
  <c r="L47" i="8" s="1"/>
  <c r="L66" i="8" s="1"/>
  <c r="X28" i="8"/>
  <c r="X46" i="8" s="1"/>
  <c r="X65" i="8" s="1"/>
  <c r="W28" i="8"/>
  <c r="W46" i="8" s="1"/>
  <c r="W65" i="8" s="1"/>
  <c r="V28" i="8"/>
  <c r="V46" i="8" s="1"/>
  <c r="V65" i="8" s="1"/>
  <c r="U28" i="8"/>
  <c r="U46" i="8" s="1"/>
  <c r="U65" i="8" s="1"/>
  <c r="T28" i="8"/>
  <c r="T46" i="8" s="1"/>
  <c r="T65" i="8" s="1"/>
  <c r="S28" i="8"/>
  <c r="S46" i="8" s="1"/>
  <c r="S65" i="8" s="1"/>
  <c r="R28" i="8"/>
  <c r="R46" i="8" s="1"/>
  <c r="R65" i="8" s="1"/>
  <c r="Q28" i="8"/>
  <c r="Q46" i="8" s="1"/>
  <c r="Q65" i="8" s="1"/>
  <c r="P28" i="8"/>
  <c r="P46" i="8" s="1"/>
  <c r="P65" i="8" s="1"/>
  <c r="O28" i="8"/>
  <c r="O46" i="8" s="1"/>
  <c r="O65" i="8" s="1"/>
  <c r="N28" i="8"/>
  <c r="N46" i="8" s="1"/>
  <c r="N65" i="8" s="1"/>
  <c r="M28" i="8"/>
  <c r="M46" i="8" s="1"/>
  <c r="M65" i="8" s="1"/>
  <c r="X27" i="8"/>
  <c r="X45" i="8" s="1"/>
  <c r="X64" i="8" s="1"/>
  <c r="W27" i="8"/>
  <c r="W45" i="8" s="1"/>
  <c r="W64" i="8" s="1"/>
  <c r="V27" i="8"/>
  <c r="V45" i="8" s="1"/>
  <c r="V64" i="8" s="1"/>
  <c r="U27" i="8"/>
  <c r="U45" i="8" s="1"/>
  <c r="U64" i="8" s="1"/>
  <c r="T27" i="8"/>
  <c r="T45" i="8" s="1"/>
  <c r="T64" i="8" s="1"/>
  <c r="S27" i="8"/>
  <c r="S45" i="8" s="1"/>
  <c r="S64" i="8" s="1"/>
  <c r="R27" i="8"/>
  <c r="R45" i="8" s="1"/>
  <c r="R64" i="8" s="1"/>
  <c r="Q27" i="8"/>
  <c r="Q45" i="8" s="1"/>
  <c r="Q64" i="8" s="1"/>
  <c r="P27" i="8"/>
  <c r="P45" i="8" s="1"/>
  <c r="P64" i="8" s="1"/>
  <c r="O27" i="8"/>
  <c r="O45" i="8" s="1"/>
  <c r="O64" i="8" s="1"/>
  <c r="N27" i="8"/>
  <c r="N45" i="8" s="1"/>
  <c r="N64" i="8" s="1"/>
  <c r="M27" i="8"/>
  <c r="M45" i="8" s="1"/>
  <c r="M64" i="8" s="1"/>
  <c r="X26" i="8"/>
  <c r="X44" i="8" s="1"/>
  <c r="X63" i="8" s="1"/>
  <c r="W26" i="8"/>
  <c r="W44" i="8" s="1"/>
  <c r="W63" i="8" s="1"/>
  <c r="V26" i="8"/>
  <c r="V44" i="8" s="1"/>
  <c r="V63" i="8" s="1"/>
  <c r="U26" i="8"/>
  <c r="U44" i="8" s="1"/>
  <c r="U63" i="8" s="1"/>
  <c r="T26" i="8"/>
  <c r="T44" i="8" s="1"/>
  <c r="T63" i="8" s="1"/>
  <c r="S26" i="8"/>
  <c r="S44" i="8" s="1"/>
  <c r="S63" i="8" s="1"/>
  <c r="R26" i="8"/>
  <c r="R44" i="8" s="1"/>
  <c r="R63" i="8" s="1"/>
  <c r="Q26" i="8"/>
  <c r="Q44" i="8" s="1"/>
  <c r="Q63" i="8" s="1"/>
  <c r="P26" i="8"/>
  <c r="P44" i="8" s="1"/>
  <c r="P63" i="8" s="1"/>
  <c r="O26" i="8"/>
  <c r="O44" i="8" s="1"/>
  <c r="O63" i="8" s="1"/>
  <c r="N26" i="8"/>
  <c r="N44" i="8" s="1"/>
  <c r="N63" i="8" s="1"/>
  <c r="M26" i="8"/>
  <c r="M44" i="8" s="1"/>
  <c r="M63" i="8" s="1"/>
  <c r="X25" i="8"/>
  <c r="X43" i="8" s="1"/>
  <c r="X62" i="8" s="1"/>
  <c r="W25" i="8"/>
  <c r="W43" i="8" s="1"/>
  <c r="W62" i="8" s="1"/>
  <c r="V25" i="8"/>
  <c r="V43" i="8" s="1"/>
  <c r="V62" i="8" s="1"/>
  <c r="U25" i="8"/>
  <c r="U43" i="8" s="1"/>
  <c r="U62" i="8" s="1"/>
  <c r="T25" i="8"/>
  <c r="T43" i="8" s="1"/>
  <c r="T62" i="8" s="1"/>
  <c r="S25" i="8"/>
  <c r="S43" i="8" s="1"/>
  <c r="S62" i="8" s="1"/>
  <c r="R25" i="8"/>
  <c r="R43" i="8" s="1"/>
  <c r="R62" i="8" s="1"/>
  <c r="Q25" i="8"/>
  <c r="Q43" i="8" s="1"/>
  <c r="Q62" i="8" s="1"/>
  <c r="P25" i="8"/>
  <c r="P43" i="8" s="1"/>
  <c r="P62" i="8" s="1"/>
  <c r="O25" i="8"/>
  <c r="O43" i="8" s="1"/>
  <c r="O62" i="8" s="1"/>
  <c r="N25" i="8"/>
  <c r="N43" i="8" s="1"/>
  <c r="N62" i="8" s="1"/>
  <c r="M25" i="8"/>
  <c r="M43" i="8" s="1"/>
  <c r="M62" i="8" s="1"/>
  <c r="X24" i="8"/>
  <c r="X42" i="8" s="1"/>
  <c r="X61" i="8" s="1"/>
  <c r="W24" i="8"/>
  <c r="W42" i="8" s="1"/>
  <c r="W61" i="8" s="1"/>
  <c r="V24" i="8"/>
  <c r="V42" i="8" s="1"/>
  <c r="V61" i="8" s="1"/>
  <c r="U24" i="8"/>
  <c r="U42" i="8" s="1"/>
  <c r="U61" i="8" s="1"/>
  <c r="T24" i="8"/>
  <c r="T42" i="8" s="1"/>
  <c r="T61" i="8" s="1"/>
  <c r="S24" i="8"/>
  <c r="S42" i="8" s="1"/>
  <c r="S61" i="8" s="1"/>
  <c r="R24" i="8"/>
  <c r="R42" i="8" s="1"/>
  <c r="R61" i="8" s="1"/>
  <c r="Q24" i="8"/>
  <c r="Q42" i="8" s="1"/>
  <c r="Q61" i="8" s="1"/>
  <c r="P24" i="8"/>
  <c r="P42" i="8" s="1"/>
  <c r="P61" i="8" s="1"/>
  <c r="O24" i="8"/>
  <c r="O42" i="8" s="1"/>
  <c r="O61" i="8" s="1"/>
  <c r="N24" i="8"/>
  <c r="N42" i="8" s="1"/>
  <c r="N61" i="8" s="1"/>
  <c r="M24" i="8"/>
  <c r="M42" i="8" s="1"/>
  <c r="M61" i="8" s="1"/>
  <c r="L24" i="8"/>
  <c r="L42" i="8" s="1"/>
  <c r="L61" i="8" s="1"/>
  <c r="X23" i="8"/>
  <c r="X41" i="8" s="1"/>
  <c r="X60" i="8" s="1"/>
  <c r="W23" i="8"/>
  <c r="W41" i="8" s="1"/>
  <c r="W60" i="8" s="1"/>
  <c r="V23" i="8"/>
  <c r="V41" i="8" s="1"/>
  <c r="V60" i="8" s="1"/>
  <c r="U23" i="8"/>
  <c r="U41" i="8" s="1"/>
  <c r="U60" i="8" s="1"/>
  <c r="T23" i="8"/>
  <c r="T41" i="8" s="1"/>
  <c r="T60" i="8" s="1"/>
  <c r="S23" i="8"/>
  <c r="S41" i="8" s="1"/>
  <c r="S60" i="8" s="1"/>
  <c r="R23" i="8"/>
  <c r="R41" i="8" s="1"/>
  <c r="R60" i="8" s="1"/>
  <c r="Q23" i="8"/>
  <c r="Q41" i="8" s="1"/>
  <c r="Q60" i="8" s="1"/>
  <c r="P23" i="8"/>
  <c r="P41" i="8" s="1"/>
  <c r="P60" i="8" s="1"/>
  <c r="O23" i="8"/>
  <c r="O41" i="8" s="1"/>
  <c r="O60" i="8" s="1"/>
  <c r="N23" i="8"/>
  <c r="N41" i="8" s="1"/>
  <c r="N60" i="8" s="1"/>
  <c r="M23" i="8"/>
  <c r="M41" i="8" s="1"/>
  <c r="M60" i="8" s="1"/>
  <c r="L23" i="8"/>
  <c r="L41" i="8" s="1"/>
  <c r="L60" i="8" s="1"/>
  <c r="X21" i="8"/>
  <c r="W21" i="8"/>
  <c r="V21" i="8"/>
  <c r="U21" i="8"/>
  <c r="T21" i="8"/>
  <c r="S21" i="8"/>
  <c r="R21" i="8"/>
  <c r="Q21" i="8"/>
  <c r="P21" i="8"/>
  <c r="O21" i="8"/>
  <c r="K34" i="8"/>
  <c r="K52" i="8" s="1"/>
  <c r="K71" i="8" s="1"/>
  <c r="K33" i="8"/>
  <c r="K51" i="8" s="1"/>
  <c r="K70" i="8" s="1"/>
  <c r="K32" i="8"/>
  <c r="K50" i="8" s="1"/>
  <c r="K69" i="8" s="1"/>
  <c r="K31" i="8"/>
  <c r="K49" i="8" s="1"/>
  <c r="K68" i="8" s="1"/>
  <c r="K30" i="8"/>
  <c r="K48" i="8" s="1"/>
  <c r="K67" i="8" s="1"/>
  <c r="K28" i="8"/>
  <c r="K46" i="8" s="1"/>
  <c r="K65" i="8" s="1"/>
  <c r="K27" i="8"/>
  <c r="K45" i="8" s="1"/>
  <c r="K64" i="8" s="1"/>
  <c r="K26" i="8"/>
  <c r="K44" i="8" s="1"/>
  <c r="K63" i="8" s="1"/>
  <c r="K25" i="8"/>
  <c r="K43" i="8" s="1"/>
  <c r="K62" i="8" s="1"/>
  <c r="K24" i="8"/>
  <c r="K42" i="8" s="1"/>
  <c r="K61" i="8" s="1"/>
  <c r="K23" i="8"/>
  <c r="K41" i="8" s="1"/>
  <c r="K60" i="8" s="1"/>
  <c r="AA12" i="8" l="1"/>
  <c r="AB5" i="8"/>
  <c r="AF13" i="8"/>
  <c r="AC12" i="8" s="1"/>
  <c r="AC14" i="8" s="1"/>
  <c r="AC15" i="8" s="1"/>
  <c r="AI12" i="4"/>
  <c r="AI16" i="4"/>
  <c r="AI17" i="4"/>
  <c r="AI18" i="4"/>
  <c r="AI19" i="4"/>
  <c r="AI20" i="4"/>
  <c r="AI21" i="4"/>
  <c r="AI22" i="4"/>
  <c r="AI23" i="4"/>
  <c r="AI24" i="4"/>
  <c r="AI25" i="4"/>
  <c r="AI26" i="4"/>
  <c r="AI15" i="4"/>
  <c r="AH16" i="4"/>
  <c r="AH17" i="4"/>
  <c r="AH18" i="4"/>
  <c r="AH19" i="4"/>
  <c r="AH20" i="4"/>
  <c r="AH21" i="4"/>
  <c r="AH22" i="4"/>
  <c r="AH23" i="4"/>
  <c r="AH24" i="4"/>
  <c r="AH25" i="4"/>
  <c r="AH26" i="4"/>
  <c r="AH15" i="4"/>
  <c r="AA13" i="8" l="1"/>
  <c r="AA14" i="8" s="1"/>
  <c r="AC5" i="8"/>
  <c r="AC4" i="8" s="1"/>
  <c r="AC16" i="8"/>
  <c r="AC18" i="8" s="1"/>
  <c r="AC20" i="8" s="1"/>
  <c r="AI13" i="4"/>
  <c r="AF17" i="4"/>
  <c r="AF12" i="4" l="1"/>
  <c r="AA15" i="8"/>
  <c r="AA16" i="8" s="1"/>
  <c r="AE6" i="8" s="1"/>
  <c r="AC3" i="8"/>
  <c r="AC21" i="8"/>
  <c r="AC23" i="8" s="1"/>
  <c r="AC19" i="8"/>
  <c r="C15" i="7" l="1"/>
  <c r="D15" i="7" s="1"/>
  <c r="AA17" i="8"/>
  <c r="AA18" i="8" s="1"/>
  <c r="AF6" i="8" s="1"/>
  <c r="AD13" i="4"/>
  <c r="AC22" i="8"/>
  <c r="AC24" i="8"/>
  <c r="AC26" i="8" s="1"/>
  <c r="AF14" i="4"/>
  <c r="AF15" i="4" s="1"/>
  <c r="AA23" i="4"/>
  <c r="Z23" i="4"/>
  <c r="Y23" i="4"/>
  <c r="X23" i="4"/>
  <c r="W23" i="4"/>
  <c r="V23" i="4"/>
  <c r="U23" i="4"/>
  <c r="T23" i="4"/>
  <c r="S23" i="4"/>
  <c r="R23" i="4"/>
  <c r="AD10" i="4"/>
  <c r="AA64" i="4"/>
  <c r="Z64" i="4"/>
  <c r="Y64" i="4"/>
  <c r="X64" i="4"/>
  <c r="W64" i="4"/>
  <c r="V64" i="4"/>
  <c r="U64" i="4"/>
  <c r="T64" i="4"/>
  <c r="S64" i="4"/>
  <c r="R64" i="4"/>
  <c r="AA43" i="4"/>
  <c r="Z43" i="4"/>
  <c r="Y43" i="4"/>
  <c r="X43" i="4"/>
  <c r="W43" i="4"/>
  <c r="V43" i="4"/>
  <c r="U43" i="4"/>
  <c r="T43" i="4"/>
  <c r="S43" i="4"/>
  <c r="R43" i="4"/>
  <c r="O33" i="4"/>
  <c r="O53" i="4" s="1"/>
  <c r="O74" i="4" s="1"/>
  <c r="AB74" i="4" s="1"/>
  <c r="AO74" i="4" s="1"/>
  <c r="O34" i="4"/>
  <c r="O54" i="4" s="1"/>
  <c r="O75" i="4" s="1"/>
  <c r="AB75" i="4" s="1"/>
  <c r="AO75" i="4" s="1"/>
  <c r="O32" i="4"/>
  <c r="O52" i="4" s="1"/>
  <c r="O73" i="4" s="1"/>
  <c r="AB73" i="4" s="1"/>
  <c r="AO73" i="4" s="1"/>
  <c r="AA26" i="4"/>
  <c r="AA46" i="4" s="1"/>
  <c r="AA67" i="4" s="1"/>
  <c r="AN67" i="4" s="1"/>
  <c r="AA27" i="4"/>
  <c r="AA47" i="4" s="1"/>
  <c r="AA68" i="4" s="1"/>
  <c r="AN68" i="4" s="1"/>
  <c r="AA28" i="4"/>
  <c r="AA48" i="4" s="1"/>
  <c r="AA69" i="4" s="1"/>
  <c r="AN69" i="4" s="1"/>
  <c r="AA29" i="4"/>
  <c r="AA49" i="4" s="1"/>
  <c r="AA70" i="4" s="1"/>
  <c r="AN70" i="4" s="1"/>
  <c r="AA30" i="4"/>
  <c r="AA50" i="4" s="1"/>
  <c r="AA71" i="4" s="1"/>
  <c r="AN71" i="4" s="1"/>
  <c r="AA31" i="4"/>
  <c r="AA51" i="4" s="1"/>
  <c r="AA72" i="4" s="1"/>
  <c r="AN72" i="4" s="1"/>
  <c r="AA32" i="4"/>
  <c r="AA52" i="4" s="1"/>
  <c r="AA73" i="4" s="1"/>
  <c r="AN73" i="4" s="1"/>
  <c r="AA33" i="4"/>
  <c r="AA53" i="4" s="1"/>
  <c r="AA74" i="4" s="1"/>
  <c r="AN74" i="4" s="1"/>
  <c r="AA34" i="4"/>
  <c r="AA54" i="4" s="1"/>
  <c r="AA75" i="4" s="1"/>
  <c r="AN75" i="4" s="1"/>
  <c r="AA35" i="4"/>
  <c r="AA55" i="4" s="1"/>
  <c r="AA76" i="4" s="1"/>
  <c r="AN76" i="4" s="1"/>
  <c r="AA36" i="4"/>
  <c r="AA56" i="4" s="1"/>
  <c r="AA77" i="4" s="1"/>
  <c r="AN77" i="4" s="1"/>
  <c r="AA37" i="4"/>
  <c r="AA57" i="4" s="1"/>
  <c r="AA78" i="4" s="1"/>
  <c r="AN78" i="4" s="1"/>
  <c r="AA38" i="4"/>
  <c r="AA58" i="4" s="1"/>
  <c r="AA79" i="4" s="1"/>
  <c r="AN79" i="4" s="1"/>
  <c r="Z26" i="4"/>
  <c r="Z46" i="4" s="1"/>
  <c r="Z67" i="4" s="1"/>
  <c r="AM67" i="4" s="1"/>
  <c r="Z27" i="4"/>
  <c r="Z47" i="4" s="1"/>
  <c r="Z68" i="4" s="1"/>
  <c r="AM68" i="4" s="1"/>
  <c r="Z28" i="4"/>
  <c r="Z48" i="4" s="1"/>
  <c r="Z69" i="4" s="1"/>
  <c r="AM69" i="4" s="1"/>
  <c r="Z29" i="4"/>
  <c r="Z49" i="4" s="1"/>
  <c r="Z70" i="4" s="1"/>
  <c r="AM70" i="4" s="1"/>
  <c r="Z30" i="4"/>
  <c r="Z50" i="4" s="1"/>
  <c r="Z71" i="4" s="1"/>
  <c r="AM71" i="4" s="1"/>
  <c r="Z31" i="4"/>
  <c r="Z51" i="4" s="1"/>
  <c r="Z72" i="4" s="1"/>
  <c r="AM72" i="4" s="1"/>
  <c r="Z32" i="4"/>
  <c r="Z52" i="4" s="1"/>
  <c r="Z73" i="4" s="1"/>
  <c r="AM73" i="4" s="1"/>
  <c r="Z33" i="4"/>
  <c r="Z53" i="4" s="1"/>
  <c r="Z74" i="4" s="1"/>
  <c r="AM74" i="4" s="1"/>
  <c r="Z34" i="4"/>
  <c r="Z54" i="4" s="1"/>
  <c r="Z75" i="4" s="1"/>
  <c r="AM75" i="4" s="1"/>
  <c r="Z35" i="4"/>
  <c r="Z55" i="4" s="1"/>
  <c r="Z76" i="4" s="1"/>
  <c r="AM76" i="4" s="1"/>
  <c r="Z36" i="4"/>
  <c r="Z56" i="4" s="1"/>
  <c r="Z77" i="4" s="1"/>
  <c r="AM77" i="4" s="1"/>
  <c r="Z37" i="4"/>
  <c r="Z57" i="4" s="1"/>
  <c r="Z78" i="4" s="1"/>
  <c r="AM78" i="4" s="1"/>
  <c r="Z38" i="4"/>
  <c r="Z58" i="4" s="1"/>
  <c r="Z79" i="4" s="1"/>
  <c r="AM79" i="4" s="1"/>
  <c r="Y26" i="4"/>
  <c r="Y46" i="4" s="1"/>
  <c r="Y67" i="4" s="1"/>
  <c r="AL67" i="4" s="1"/>
  <c r="Y27" i="4"/>
  <c r="Y47" i="4" s="1"/>
  <c r="Y68" i="4" s="1"/>
  <c r="AL68" i="4" s="1"/>
  <c r="Y28" i="4"/>
  <c r="Y48" i="4" s="1"/>
  <c r="Y69" i="4" s="1"/>
  <c r="AL69" i="4" s="1"/>
  <c r="Y29" i="4"/>
  <c r="Y49" i="4" s="1"/>
  <c r="Y70" i="4" s="1"/>
  <c r="AL70" i="4" s="1"/>
  <c r="Y30" i="4"/>
  <c r="Y50" i="4" s="1"/>
  <c r="Y71" i="4" s="1"/>
  <c r="AL71" i="4" s="1"/>
  <c r="Y31" i="4"/>
  <c r="Y51" i="4" s="1"/>
  <c r="Y72" i="4" s="1"/>
  <c r="AL72" i="4" s="1"/>
  <c r="Y32" i="4"/>
  <c r="Y52" i="4" s="1"/>
  <c r="Y73" i="4" s="1"/>
  <c r="AL73" i="4" s="1"/>
  <c r="Y33" i="4"/>
  <c r="Y53" i="4" s="1"/>
  <c r="Y74" i="4" s="1"/>
  <c r="AL74" i="4" s="1"/>
  <c r="Y34" i="4"/>
  <c r="Y54" i="4" s="1"/>
  <c r="Y75" i="4" s="1"/>
  <c r="AL75" i="4" s="1"/>
  <c r="Y35" i="4"/>
  <c r="Y55" i="4" s="1"/>
  <c r="Y76" i="4" s="1"/>
  <c r="AL76" i="4" s="1"/>
  <c r="Y36" i="4"/>
  <c r="Y56" i="4" s="1"/>
  <c r="Y77" i="4" s="1"/>
  <c r="AL77" i="4" s="1"/>
  <c r="Y37" i="4"/>
  <c r="Y57" i="4" s="1"/>
  <c r="Y78" i="4" s="1"/>
  <c r="AL78" i="4" s="1"/>
  <c r="Y38" i="4"/>
  <c r="Y58" i="4" s="1"/>
  <c r="Y79" i="4" s="1"/>
  <c r="AL79" i="4" s="1"/>
  <c r="X26" i="4"/>
  <c r="X46" i="4" s="1"/>
  <c r="X67" i="4" s="1"/>
  <c r="AK67" i="4" s="1"/>
  <c r="X27" i="4"/>
  <c r="X47" i="4" s="1"/>
  <c r="X68" i="4" s="1"/>
  <c r="AK68" i="4" s="1"/>
  <c r="X28" i="4"/>
  <c r="X48" i="4" s="1"/>
  <c r="X69" i="4" s="1"/>
  <c r="AK69" i="4" s="1"/>
  <c r="X29" i="4"/>
  <c r="X49" i="4" s="1"/>
  <c r="X70" i="4" s="1"/>
  <c r="AK70" i="4" s="1"/>
  <c r="X30" i="4"/>
  <c r="X50" i="4" s="1"/>
  <c r="X71" i="4" s="1"/>
  <c r="AK71" i="4" s="1"/>
  <c r="X31" i="4"/>
  <c r="X51" i="4" s="1"/>
  <c r="X72" i="4" s="1"/>
  <c r="AK72" i="4" s="1"/>
  <c r="X32" i="4"/>
  <c r="X52" i="4" s="1"/>
  <c r="X73" i="4" s="1"/>
  <c r="AK73" i="4" s="1"/>
  <c r="X33" i="4"/>
  <c r="X53" i="4" s="1"/>
  <c r="X74" i="4" s="1"/>
  <c r="AK74" i="4" s="1"/>
  <c r="X34" i="4"/>
  <c r="X54" i="4" s="1"/>
  <c r="X75" i="4" s="1"/>
  <c r="AK75" i="4" s="1"/>
  <c r="X35" i="4"/>
  <c r="X55" i="4" s="1"/>
  <c r="X76" i="4" s="1"/>
  <c r="AK76" i="4" s="1"/>
  <c r="X36" i="4"/>
  <c r="X56" i="4" s="1"/>
  <c r="X77" i="4" s="1"/>
  <c r="AK77" i="4" s="1"/>
  <c r="X37" i="4"/>
  <c r="X57" i="4" s="1"/>
  <c r="X78" i="4" s="1"/>
  <c r="AK78" i="4" s="1"/>
  <c r="X38" i="4"/>
  <c r="X58" i="4" s="1"/>
  <c r="X79" i="4" s="1"/>
  <c r="AK79" i="4" s="1"/>
  <c r="W26" i="4"/>
  <c r="W46" i="4" s="1"/>
  <c r="W67" i="4" s="1"/>
  <c r="AJ67" i="4" s="1"/>
  <c r="W27" i="4"/>
  <c r="W47" i="4" s="1"/>
  <c r="W68" i="4" s="1"/>
  <c r="AJ68" i="4" s="1"/>
  <c r="W28" i="4"/>
  <c r="W48" i="4" s="1"/>
  <c r="W69" i="4" s="1"/>
  <c r="AJ69" i="4" s="1"/>
  <c r="W29" i="4"/>
  <c r="W49" i="4" s="1"/>
  <c r="W70" i="4" s="1"/>
  <c r="AJ70" i="4" s="1"/>
  <c r="W30" i="4"/>
  <c r="W50" i="4" s="1"/>
  <c r="W71" i="4" s="1"/>
  <c r="AJ71" i="4" s="1"/>
  <c r="W31" i="4"/>
  <c r="W51" i="4" s="1"/>
  <c r="W72" i="4" s="1"/>
  <c r="AJ72" i="4" s="1"/>
  <c r="W32" i="4"/>
  <c r="W52" i="4" s="1"/>
  <c r="W73" i="4" s="1"/>
  <c r="AJ73" i="4" s="1"/>
  <c r="W33" i="4"/>
  <c r="W53" i="4" s="1"/>
  <c r="W74" i="4" s="1"/>
  <c r="AJ74" i="4" s="1"/>
  <c r="W34" i="4"/>
  <c r="W54" i="4" s="1"/>
  <c r="W75" i="4" s="1"/>
  <c r="AJ75" i="4" s="1"/>
  <c r="W35" i="4"/>
  <c r="W55" i="4" s="1"/>
  <c r="W76" i="4" s="1"/>
  <c r="AJ76" i="4" s="1"/>
  <c r="W36" i="4"/>
  <c r="W56" i="4" s="1"/>
  <c r="W77" i="4" s="1"/>
  <c r="AJ77" i="4" s="1"/>
  <c r="W37" i="4"/>
  <c r="W57" i="4" s="1"/>
  <c r="W78" i="4" s="1"/>
  <c r="AJ78" i="4" s="1"/>
  <c r="W38" i="4"/>
  <c r="W58" i="4" s="1"/>
  <c r="W79" i="4" s="1"/>
  <c r="AJ79" i="4" s="1"/>
  <c r="V26" i="4"/>
  <c r="V46" i="4" s="1"/>
  <c r="V67" i="4" s="1"/>
  <c r="AI67" i="4" s="1"/>
  <c r="V27" i="4"/>
  <c r="V47" i="4" s="1"/>
  <c r="V68" i="4" s="1"/>
  <c r="AI68" i="4" s="1"/>
  <c r="V28" i="4"/>
  <c r="V48" i="4" s="1"/>
  <c r="V69" i="4" s="1"/>
  <c r="AI69" i="4" s="1"/>
  <c r="V29" i="4"/>
  <c r="V49" i="4" s="1"/>
  <c r="V70" i="4" s="1"/>
  <c r="AI70" i="4" s="1"/>
  <c r="V30" i="4"/>
  <c r="V50" i="4" s="1"/>
  <c r="V71" i="4" s="1"/>
  <c r="AI71" i="4" s="1"/>
  <c r="V31" i="4"/>
  <c r="V51" i="4" s="1"/>
  <c r="V72" i="4" s="1"/>
  <c r="AI72" i="4" s="1"/>
  <c r="V32" i="4"/>
  <c r="V52" i="4" s="1"/>
  <c r="V73" i="4" s="1"/>
  <c r="AI73" i="4" s="1"/>
  <c r="V33" i="4"/>
  <c r="V53" i="4" s="1"/>
  <c r="V74" i="4" s="1"/>
  <c r="AI74" i="4" s="1"/>
  <c r="V34" i="4"/>
  <c r="V54" i="4" s="1"/>
  <c r="V75" i="4" s="1"/>
  <c r="AI75" i="4" s="1"/>
  <c r="V35" i="4"/>
  <c r="V55" i="4" s="1"/>
  <c r="V76" i="4" s="1"/>
  <c r="AI76" i="4" s="1"/>
  <c r="V36" i="4"/>
  <c r="V56" i="4" s="1"/>
  <c r="V77" i="4" s="1"/>
  <c r="AI77" i="4" s="1"/>
  <c r="V37" i="4"/>
  <c r="V57" i="4" s="1"/>
  <c r="V78" i="4" s="1"/>
  <c r="AI78" i="4" s="1"/>
  <c r="V38" i="4"/>
  <c r="V58" i="4" s="1"/>
  <c r="V79" i="4" s="1"/>
  <c r="AI79" i="4" s="1"/>
  <c r="U26" i="4"/>
  <c r="U46" i="4" s="1"/>
  <c r="U67" i="4" s="1"/>
  <c r="AH67" i="4" s="1"/>
  <c r="U27" i="4"/>
  <c r="U47" i="4" s="1"/>
  <c r="U68" i="4" s="1"/>
  <c r="AH68" i="4" s="1"/>
  <c r="U28" i="4"/>
  <c r="U48" i="4" s="1"/>
  <c r="U69" i="4" s="1"/>
  <c r="AH69" i="4" s="1"/>
  <c r="U29" i="4"/>
  <c r="U49" i="4" s="1"/>
  <c r="U70" i="4" s="1"/>
  <c r="AH70" i="4" s="1"/>
  <c r="U30" i="4"/>
  <c r="U50" i="4" s="1"/>
  <c r="U71" i="4" s="1"/>
  <c r="AH71" i="4" s="1"/>
  <c r="U31" i="4"/>
  <c r="U51" i="4" s="1"/>
  <c r="U72" i="4" s="1"/>
  <c r="AH72" i="4" s="1"/>
  <c r="U32" i="4"/>
  <c r="U52" i="4" s="1"/>
  <c r="U73" i="4" s="1"/>
  <c r="AH73" i="4" s="1"/>
  <c r="U33" i="4"/>
  <c r="U53" i="4" s="1"/>
  <c r="U74" i="4" s="1"/>
  <c r="AH74" i="4" s="1"/>
  <c r="U34" i="4"/>
  <c r="U54" i="4" s="1"/>
  <c r="U75" i="4" s="1"/>
  <c r="AH75" i="4" s="1"/>
  <c r="U35" i="4"/>
  <c r="U55" i="4" s="1"/>
  <c r="U76" i="4" s="1"/>
  <c r="AH76" i="4" s="1"/>
  <c r="U36" i="4"/>
  <c r="U56" i="4" s="1"/>
  <c r="U77" i="4" s="1"/>
  <c r="AH77" i="4" s="1"/>
  <c r="U37" i="4"/>
  <c r="U57" i="4" s="1"/>
  <c r="U78" i="4" s="1"/>
  <c r="AH78" i="4" s="1"/>
  <c r="U38" i="4"/>
  <c r="U58" i="4" s="1"/>
  <c r="U79" i="4" s="1"/>
  <c r="AH79" i="4" s="1"/>
  <c r="T26" i="4"/>
  <c r="T46" i="4" s="1"/>
  <c r="T67" i="4" s="1"/>
  <c r="AG67" i="4" s="1"/>
  <c r="T27" i="4"/>
  <c r="T47" i="4" s="1"/>
  <c r="T68" i="4" s="1"/>
  <c r="AG68" i="4" s="1"/>
  <c r="T28" i="4"/>
  <c r="T48" i="4" s="1"/>
  <c r="T69" i="4" s="1"/>
  <c r="AG69" i="4" s="1"/>
  <c r="T29" i="4"/>
  <c r="T49" i="4" s="1"/>
  <c r="T70" i="4" s="1"/>
  <c r="AG70" i="4" s="1"/>
  <c r="T30" i="4"/>
  <c r="T50" i="4" s="1"/>
  <c r="T71" i="4" s="1"/>
  <c r="AG71" i="4" s="1"/>
  <c r="T31" i="4"/>
  <c r="T51" i="4" s="1"/>
  <c r="T72" i="4" s="1"/>
  <c r="AG72" i="4" s="1"/>
  <c r="T32" i="4"/>
  <c r="T52" i="4" s="1"/>
  <c r="T73" i="4" s="1"/>
  <c r="AG73" i="4" s="1"/>
  <c r="T33" i="4"/>
  <c r="T53" i="4" s="1"/>
  <c r="T74" i="4" s="1"/>
  <c r="AG74" i="4" s="1"/>
  <c r="T34" i="4"/>
  <c r="T54" i="4" s="1"/>
  <c r="T75" i="4" s="1"/>
  <c r="AG75" i="4" s="1"/>
  <c r="T35" i="4"/>
  <c r="T55" i="4" s="1"/>
  <c r="T76" i="4" s="1"/>
  <c r="AG76" i="4" s="1"/>
  <c r="T36" i="4"/>
  <c r="T56" i="4" s="1"/>
  <c r="T77" i="4" s="1"/>
  <c r="AG77" i="4" s="1"/>
  <c r="T37" i="4"/>
  <c r="T57" i="4" s="1"/>
  <c r="T78" i="4" s="1"/>
  <c r="AG78" i="4" s="1"/>
  <c r="T38" i="4"/>
  <c r="T58" i="4" s="1"/>
  <c r="T79" i="4" s="1"/>
  <c r="AG79" i="4" s="1"/>
  <c r="S26" i="4"/>
  <c r="S46" i="4" s="1"/>
  <c r="S67" i="4" s="1"/>
  <c r="AF67" i="4" s="1"/>
  <c r="S27" i="4"/>
  <c r="S47" i="4" s="1"/>
  <c r="S68" i="4" s="1"/>
  <c r="AF68" i="4" s="1"/>
  <c r="S28" i="4"/>
  <c r="S48" i="4" s="1"/>
  <c r="S69" i="4" s="1"/>
  <c r="AF69" i="4" s="1"/>
  <c r="S29" i="4"/>
  <c r="S49" i="4" s="1"/>
  <c r="S70" i="4" s="1"/>
  <c r="AF70" i="4" s="1"/>
  <c r="S30" i="4"/>
  <c r="S50" i="4" s="1"/>
  <c r="S71" i="4" s="1"/>
  <c r="AF71" i="4" s="1"/>
  <c r="S31" i="4"/>
  <c r="S51" i="4" s="1"/>
  <c r="S72" i="4" s="1"/>
  <c r="AF72" i="4" s="1"/>
  <c r="S32" i="4"/>
  <c r="S52" i="4" s="1"/>
  <c r="S73" i="4" s="1"/>
  <c r="AF73" i="4" s="1"/>
  <c r="S33" i="4"/>
  <c r="S53" i="4" s="1"/>
  <c r="S74" i="4" s="1"/>
  <c r="AF74" i="4" s="1"/>
  <c r="S34" i="4"/>
  <c r="S54" i="4" s="1"/>
  <c r="S75" i="4" s="1"/>
  <c r="AF75" i="4" s="1"/>
  <c r="S35" i="4"/>
  <c r="S55" i="4" s="1"/>
  <c r="S76" i="4" s="1"/>
  <c r="AF76" i="4" s="1"/>
  <c r="S36" i="4"/>
  <c r="S56" i="4" s="1"/>
  <c r="S77" i="4" s="1"/>
  <c r="AF77" i="4" s="1"/>
  <c r="S37" i="4"/>
  <c r="S57" i="4" s="1"/>
  <c r="S78" i="4" s="1"/>
  <c r="AF78" i="4" s="1"/>
  <c r="S38" i="4"/>
  <c r="S58" i="4" s="1"/>
  <c r="S79" i="4" s="1"/>
  <c r="AF79" i="4" s="1"/>
  <c r="R26" i="4"/>
  <c r="R46" i="4" s="1"/>
  <c r="R67" i="4" s="1"/>
  <c r="AE67" i="4" s="1"/>
  <c r="R27" i="4"/>
  <c r="R47" i="4" s="1"/>
  <c r="R68" i="4" s="1"/>
  <c r="AE68" i="4" s="1"/>
  <c r="R28" i="4"/>
  <c r="R48" i="4" s="1"/>
  <c r="R69" i="4" s="1"/>
  <c r="AE69" i="4" s="1"/>
  <c r="R29" i="4"/>
  <c r="R49" i="4" s="1"/>
  <c r="R70" i="4" s="1"/>
  <c r="AE70" i="4" s="1"/>
  <c r="R30" i="4"/>
  <c r="R50" i="4" s="1"/>
  <c r="R71" i="4" s="1"/>
  <c r="AE71" i="4" s="1"/>
  <c r="R31" i="4"/>
  <c r="R51" i="4" s="1"/>
  <c r="R72" i="4" s="1"/>
  <c r="AE72" i="4" s="1"/>
  <c r="R32" i="4"/>
  <c r="R52" i="4" s="1"/>
  <c r="R73" i="4" s="1"/>
  <c r="AE73" i="4" s="1"/>
  <c r="R33" i="4"/>
  <c r="R53" i="4" s="1"/>
  <c r="R74" i="4" s="1"/>
  <c r="AE74" i="4" s="1"/>
  <c r="R34" i="4"/>
  <c r="R54" i="4" s="1"/>
  <c r="R75" i="4" s="1"/>
  <c r="AE75" i="4" s="1"/>
  <c r="R35" i="4"/>
  <c r="R55" i="4" s="1"/>
  <c r="R76" i="4" s="1"/>
  <c r="AE76" i="4" s="1"/>
  <c r="R36" i="4"/>
  <c r="R56" i="4" s="1"/>
  <c r="R77" i="4" s="1"/>
  <c r="AE77" i="4" s="1"/>
  <c r="R37" i="4"/>
  <c r="R57" i="4" s="1"/>
  <c r="R78" i="4" s="1"/>
  <c r="AE78" i="4" s="1"/>
  <c r="R38" i="4"/>
  <c r="R58" i="4" s="1"/>
  <c r="R79" i="4" s="1"/>
  <c r="AE79" i="4" s="1"/>
  <c r="Q26" i="4"/>
  <c r="Q46" i="4" s="1"/>
  <c r="Q67" i="4" s="1"/>
  <c r="AD67" i="4" s="1"/>
  <c r="Q27" i="4"/>
  <c r="Q47" i="4" s="1"/>
  <c r="Q68" i="4" s="1"/>
  <c r="AD68" i="4" s="1"/>
  <c r="Q28" i="4"/>
  <c r="Q48" i="4" s="1"/>
  <c r="Q69" i="4" s="1"/>
  <c r="AD69" i="4" s="1"/>
  <c r="Q29" i="4"/>
  <c r="Q49" i="4" s="1"/>
  <c r="Q70" i="4" s="1"/>
  <c r="AD70" i="4" s="1"/>
  <c r="Q30" i="4"/>
  <c r="Q50" i="4" s="1"/>
  <c r="Q71" i="4" s="1"/>
  <c r="AD71" i="4" s="1"/>
  <c r="Q31" i="4"/>
  <c r="Q51" i="4" s="1"/>
  <c r="Q72" i="4" s="1"/>
  <c r="AD72" i="4" s="1"/>
  <c r="Q32" i="4"/>
  <c r="Q52" i="4" s="1"/>
  <c r="Q73" i="4" s="1"/>
  <c r="AD73" i="4" s="1"/>
  <c r="Q33" i="4"/>
  <c r="Q53" i="4" s="1"/>
  <c r="Q74" i="4" s="1"/>
  <c r="AD74" i="4" s="1"/>
  <c r="Q34" i="4"/>
  <c r="Q54" i="4" s="1"/>
  <c r="Q75" i="4" s="1"/>
  <c r="AD75" i="4" s="1"/>
  <c r="Q35" i="4"/>
  <c r="Q55" i="4" s="1"/>
  <c r="Q76" i="4" s="1"/>
  <c r="AD76" i="4" s="1"/>
  <c r="Q36" i="4"/>
  <c r="Q56" i="4" s="1"/>
  <c r="Q77" i="4" s="1"/>
  <c r="AD77" i="4" s="1"/>
  <c r="Q37" i="4"/>
  <c r="Q57" i="4" s="1"/>
  <c r="Q78" i="4" s="1"/>
  <c r="AD78" i="4" s="1"/>
  <c r="Q38" i="4"/>
  <c r="Q58" i="4" s="1"/>
  <c r="Q79" i="4" s="1"/>
  <c r="AD79" i="4" s="1"/>
  <c r="P27" i="4"/>
  <c r="P47" i="4" s="1"/>
  <c r="P68" i="4" s="1"/>
  <c r="AC68" i="4" s="1"/>
  <c r="P28" i="4"/>
  <c r="P48" i="4" s="1"/>
  <c r="P69" i="4" s="1"/>
  <c r="AC69" i="4" s="1"/>
  <c r="P29" i="4"/>
  <c r="P49" i="4" s="1"/>
  <c r="P70" i="4" s="1"/>
  <c r="AC70" i="4" s="1"/>
  <c r="P30" i="4"/>
  <c r="P50" i="4" s="1"/>
  <c r="P71" i="4" s="1"/>
  <c r="AC71" i="4" s="1"/>
  <c r="P31" i="4"/>
  <c r="P51" i="4" s="1"/>
  <c r="P72" i="4" s="1"/>
  <c r="AC72" i="4" s="1"/>
  <c r="P32" i="4"/>
  <c r="P52" i="4" s="1"/>
  <c r="P73" i="4" s="1"/>
  <c r="AC73" i="4" s="1"/>
  <c r="P33" i="4"/>
  <c r="P53" i="4" s="1"/>
  <c r="P74" i="4" s="1"/>
  <c r="AC74" i="4" s="1"/>
  <c r="P34" i="4"/>
  <c r="P54" i="4" s="1"/>
  <c r="P75" i="4" s="1"/>
  <c r="AC75" i="4" s="1"/>
  <c r="P35" i="4"/>
  <c r="P55" i="4" s="1"/>
  <c r="P76" i="4" s="1"/>
  <c r="AC76" i="4" s="1"/>
  <c r="P36" i="4"/>
  <c r="P56" i="4" s="1"/>
  <c r="P77" i="4" s="1"/>
  <c r="AC77" i="4" s="1"/>
  <c r="P37" i="4"/>
  <c r="P57" i="4" s="1"/>
  <c r="P78" i="4" s="1"/>
  <c r="AC78" i="4" s="1"/>
  <c r="P38" i="4"/>
  <c r="P58" i="4" s="1"/>
  <c r="P79" i="4" s="1"/>
  <c r="AC79" i="4" s="1"/>
  <c r="P26" i="4"/>
  <c r="P46" i="4" s="1"/>
  <c r="P67" i="4" s="1"/>
  <c r="AC67" i="4" s="1"/>
  <c r="P25" i="4"/>
  <c r="P45" i="4" s="1"/>
  <c r="P66" i="4" s="1"/>
  <c r="AC66" i="4" s="1"/>
  <c r="AP66" i="4" s="1"/>
  <c r="Q25" i="4"/>
  <c r="Q45" i="4" s="1"/>
  <c r="Q66" i="4" s="1"/>
  <c r="AD66" i="4" s="1"/>
  <c r="AQ66" i="4" s="1"/>
  <c r="R25" i="4"/>
  <c r="R45" i="4" s="1"/>
  <c r="R66" i="4" s="1"/>
  <c r="AE66" i="4" s="1"/>
  <c r="AR66" i="4" s="1"/>
  <c r="S25" i="4"/>
  <c r="S45" i="4" s="1"/>
  <c r="S66" i="4" s="1"/>
  <c r="AF66" i="4" s="1"/>
  <c r="T25" i="4"/>
  <c r="T45" i="4" s="1"/>
  <c r="T66" i="4" s="1"/>
  <c r="AG66" i="4" s="1"/>
  <c r="U25" i="4"/>
  <c r="U45" i="4" s="1"/>
  <c r="U66" i="4" s="1"/>
  <c r="AH66" i="4" s="1"/>
  <c r="V25" i="4"/>
  <c r="V45" i="4" s="1"/>
  <c r="V66" i="4" s="1"/>
  <c r="AI66" i="4" s="1"/>
  <c r="W25" i="4"/>
  <c r="W45" i="4" s="1"/>
  <c r="W66" i="4" s="1"/>
  <c r="AJ66" i="4" s="1"/>
  <c r="X25" i="4"/>
  <c r="X45" i="4" s="1"/>
  <c r="X66" i="4" s="1"/>
  <c r="AK66" i="4" s="1"/>
  <c r="Y25" i="4"/>
  <c r="Y45" i="4" s="1"/>
  <c r="Y66" i="4" s="1"/>
  <c r="AL66" i="4" s="1"/>
  <c r="Z25" i="4"/>
  <c r="Z45" i="4" s="1"/>
  <c r="Z66" i="4" s="1"/>
  <c r="AM66" i="4" s="1"/>
  <c r="AA25" i="4"/>
  <c r="AA45" i="4" s="1"/>
  <c r="AA66" i="4" s="1"/>
  <c r="AN66" i="4" s="1"/>
  <c r="O26" i="4"/>
  <c r="O46" i="4" s="1"/>
  <c r="O67" i="4" s="1"/>
  <c r="AB67" i="4" s="1"/>
  <c r="AO67" i="4" s="1"/>
  <c r="O27" i="4"/>
  <c r="O47" i="4" s="1"/>
  <c r="O68" i="4" s="1"/>
  <c r="AB68" i="4" s="1"/>
  <c r="AO68" i="4" s="1"/>
  <c r="O25" i="4"/>
  <c r="O45" i="4" s="1"/>
  <c r="O66" i="4" s="1"/>
  <c r="AB66" i="4" s="1"/>
  <c r="AO66" i="4" s="1"/>
  <c r="N39" i="4"/>
  <c r="N59" i="4" s="1"/>
  <c r="N80" i="4" s="1"/>
  <c r="N5" i="4"/>
  <c r="N25" i="4" s="1"/>
  <c r="N45" i="4" s="1"/>
  <c r="N66" i="4" s="1"/>
  <c r="N6" i="4"/>
  <c r="N26" i="4" s="1"/>
  <c r="N46" i="4" s="1"/>
  <c r="N67" i="4" s="1"/>
  <c r="N7" i="4"/>
  <c r="N27" i="4" s="1"/>
  <c r="N47" i="4" s="1"/>
  <c r="N68" i="4" s="1"/>
  <c r="N8" i="4"/>
  <c r="N28" i="4" s="1"/>
  <c r="N48" i="4" s="1"/>
  <c r="N69" i="4" s="1"/>
  <c r="N9" i="4"/>
  <c r="N29" i="4" s="1"/>
  <c r="N49" i="4" s="1"/>
  <c r="N70" i="4" s="1"/>
  <c r="N10" i="4"/>
  <c r="N30" i="4" s="1"/>
  <c r="N50" i="4" s="1"/>
  <c r="N71" i="4" s="1"/>
  <c r="N11" i="4"/>
  <c r="N31" i="4" s="1"/>
  <c r="N51" i="4" s="1"/>
  <c r="N72" i="4" s="1"/>
  <c r="N12" i="4"/>
  <c r="N32" i="4" s="1"/>
  <c r="N52" i="4" s="1"/>
  <c r="N73" i="4" s="1"/>
  <c r="N13" i="4"/>
  <c r="N33" i="4" s="1"/>
  <c r="N53" i="4" s="1"/>
  <c r="N74" i="4" s="1"/>
  <c r="N14" i="4"/>
  <c r="N34" i="4" s="1"/>
  <c r="N54" i="4" s="1"/>
  <c r="N75" i="4" s="1"/>
  <c r="N15" i="4"/>
  <c r="N35" i="4" s="1"/>
  <c r="N55" i="4" s="1"/>
  <c r="N76" i="4" s="1"/>
  <c r="N16" i="4"/>
  <c r="N36" i="4" s="1"/>
  <c r="N56" i="4" s="1"/>
  <c r="N77" i="4" s="1"/>
  <c r="N17" i="4"/>
  <c r="N37" i="4" s="1"/>
  <c r="N57" i="4" s="1"/>
  <c r="N78" i="4" s="1"/>
  <c r="N18" i="4"/>
  <c r="N38" i="4" s="1"/>
  <c r="N58" i="4" s="1"/>
  <c r="N79" i="4" s="1"/>
  <c r="AA19" i="8" l="1"/>
  <c r="AA20" i="8" s="1"/>
  <c r="AG6" i="8" s="1"/>
  <c r="AC25" i="8"/>
  <c r="AD5" i="4"/>
  <c r="AD12" i="4" s="1"/>
  <c r="AD14" i="4" s="1"/>
  <c r="AD15" i="4" l="1"/>
  <c r="AD17" i="4" s="1"/>
  <c r="AF16" i="4"/>
  <c r="AF18" i="4" s="1"/>
  <c r="B20" i="4"/>
  <c r="AD19" i="4" l="1"/>
  <c r="AF19" i="4"/>
  <c r="AF21" i="4"/>
  <c r="D346" i="4"/>
  <c r="D345" i="4"/>
  <c r="D344" i="4"/>
  <c r="D334" i="4"/>
  <c r="D333" i="4"/>
  <c r="D332" i="4"/>
  <c r="D322" i="4"/>
  <c r="D321" i="4"/>
  <c r="D320" i="4"/>
  <c r="D310" i="4"/>
  <c r="D309" i="4"/>
  <c r="D308" i="4"/>
  <c r="D298" i="4"/>
  <c r="D297" i="4"/>
  <c r="D296" i="4"/>
  <c r="D286" i="4"/>
  <c r="D285" i="4"/>
  <c r="D284" i="4"/>
  <c r="D274" i="4"/>
  <c r="D273" i="4"/>
  <c r="D272" i="4"/>
  <c r="D262" i="4"/>
  <c r="D261" i="4"/>
  <c r="D260" i="4"/>
  <c r="D250" i="4"/>
  <c r="D249" i="4"/>
  <c r="D248" i="4"/>
  <c r="D238" i="4"/>
  <c r="D237" i="4"/>
  <c r="D236" i="4"/>
  <c r="D226" i="4"/>
  <c r="D225" i="4"/>
  <c r="D224" i="4"/>
  <c r="D214" i="4"/>
  <c r="D213" i="4"/>
  <c r="D212" i="4"/>
  <c r="D202" i="4"/>
  <c r="D201" i="4"/>
  <c r="D200" i="4"/>
  <c r="D190" i="4"/>
  <c r="D189" i="4"/>
  <c r="D188" i="4"/>
  <c r="D178" i="4"/>
  <c r="D177" i="4"/>
  <c r="D176" i="4"/>
  <c r="D166" i="4"/>
  <c r="D165" i="4"/>
  <c r="D164" i="4"/>
  <c r="D154" i="4"/>
  <c r="D153" i="4"/>
  <c r="D152" i="4"/>
  <c r="D142" i="4"/>
  <c r="D141" i="4"/>
  <c r="D140" i="4"/>
  <c r="D130" i="4"/>
  <c r="D129" i="4"/>
  <c r="D128" i="4"/>
  <c r="D118" i="4"/>
  <c r="D117" i="4"/>
  <c r="D116" i="4"/>
  <c r="D106" i="4"/>
  <c r="D105" i="4"/>
  <c r="D104" i="4"/>
  <c r="D94" i="4"/>
  <c r="D93" i="4"/>
  <c r="D92" i="4"/>
  <c r="D82" i="4"/>
  <c r="D81" i="4"/>
  <c r="D80" i="4"/>
  <c r="D70" i="4"/>
  <c r="D69" i="4"/>
  <c r="D68" i="4"/>
  <c r="D58" i="4"/>
  <c r="D57" i="4"/>
  <c r="D56" i="4"/>
  <c r="D46" i="4"/>
  <c r="D45" i="4"/>
  <c r="D44" i="4"/>
  <c r="D34" i="4"/>
  <c r="D33" i="4"/>
  <c r="D22" i="4"/>
  <c r="D21" i="4"/>
  <c r="D20" i="4"/>
  <c r="D32" i="4"/>
  <c r="AF22" i="4" l="1"/>
  <c r="AF24" i="4"/>
  <c r="E6" i="4"/>
  <c r="E5" i="4"/>
  <c r="E4" i="4"/>
  <c r="AF25" i="4" l="1"/>
  <c r="D131" i="4"/>
  <c r="D347" i="4"/>
  <c r="D335" i="4"/>
  <c r="D323" i="4"/>
  <c r="D311" i="4"/>
  <c r="D299" i="4"/>
  <c r="D287" i="4"/>
  <c r="D275" i="4"/>
  <c r="D263" i="4"/>
  <c r="D251" i="4"/>
  <c r="D239" i="4"/>
  <c r="D227" i="4"/>
  <c r="D121" i="4"/>
  <c r="D109" i="4"/>
  <c r="D97" i="4"/>
  <c r="D85" i="4"/>
  <c r="D73" i="4"/>
  <c r="D61" i="4"/>
  <c r="D49" i="4"/>
  <c r="D37" i="4"/>
  <c r="D24" i="4"/>
  <c r="D349" i="4"/>
  <c r="D337" i="4"/>
  <c r="D325" i="4"/>
  <c r="D313" i="4"/>
  <c r="D301" i="4"/>
  <c r="D289" i="4"/>
  <c r="D277" i="4"/>
  <c r="D265" i="4"/>
  <c r="D253" i="4"/>
  <c r="D241" i="4"/>
  <c r="D229" i="4"/>
  <c r="D216" i="4"/>
  <c r="D204" i="4"/>
  <c r="D192" i="4"/>
  <c r="D180" i="4"/>
  <c r="D168" i="4"/>
  <c r="D156" i="4"/>
  <c r="D144" i="4"/>
  <c r="D132" i="4"/>
  <c r="D119" i="4"/>
  <c r="D107" i="4"/>
  <c r="D95" i="4"/>
  <c r="D83" i="4"/>
  <c r="D71" i="4"/>
  <c r="D59" i="4"/>
  <c r="D47" i="4"/>
  <c r="D35" i="4"/>
  <c r="D348" i="4"/>
  <c r="D336" i="4"/>
  <c r="D324" i="4"/>
  <c r="D312" i="4"/>
  <c r="D300" i="4"/>
  <c r="D288" i="4"/>
  <c r="D276" i="4"/>
  <c r="D264" i="4"/>
  <c r="D252" i="4"/>
  <c r="D240" i="4"/>
  <c r="D120" i="4"/>
  <c r="D72" i="4"/>
  <c r="D23" i="4"/>
  <c r="D217" i="4"/>
  <c r="D205" i="4"/>
  <c r="D193" i="4"/>
  <c r="D181" i="4"/>
  <c r="D169" i="4"/>
  <c r="D157" i="4"/>
  <c r="D145" i="4"/>
  <c r="D133" i="4"/>
  <c r="D84" i="4"/>
  <c r="D215" i="4"/>
  <c r="D203" i="4"/>
  <c r="D191" i="4"/>
  <c r="D179" i="4"/>
  <c r="D167" i="4"/>
  <c r="D155" i="4"/>
  <c r="D143" i="4"/>
  <c r="D96" i="4"/>
  <c r="D48" i="4"/>
  <c r="D228" i="4"/>
  <c r="D108" i="4"/>
  <c r="D60" i="4"/>
  <c r="D25" i="4"/>
  <c r="D36" i="4"/>
  <c r="D351" i="4"/>
  <c r="D339" i="4"/>
  <c r="D327" i="4"/>
  <c r="D315" i="4"/>
  <c r="D303" i="4"/>
  <c r="D291" i="4"/>
  <c r="D279" i="4"/>
  <c r="D267" i="4"/>
  <c r="D255" i="4"/>
  <c r="D243" i="4"/>
  <c r="D231" i="4"/>
  <c r="D218" i="4"/>
  <c r="D206" i="4"/>
  <c r="D194" i="4"/>
  <c r="D182" i="4"/>
  <c r="D170" i="4"/>
  <c r="D158" i="4"/>
  <c r="D146" i="4"/>
  <c r="D134" i="4"/>
  <c r="D28" i="4"/>
  <c r="D350" i="4"/>
  <c r="D338" i="4"/>
  <c r="D326" i="4"/>
  <c r="D314" i="4"/>
  <c r="D302" i="4"/>
  <c r="D290" i="4"/>
  <c r="D278" i="4"/>
  <c r="D266" i="4"/>
  <c r="D220" i="4"/>
  <c r="D208" i="4"/>
  <c r="D196" i="4"/>
  <c r="D184" i="4"/>
  <c r="D172" i="4"/>
  <c r="D160" i="4"/>
  <c r="D148" i="4"/>
  <c r="D136" i="4"/>
  <c r="D123" i="4"/>
  <c r="D111" i="4"/>
  <c r="D99" i="4"/>
  <c r="D87" i="4"/>
  <c r="D75" i="4"/>
  <c r="D63" i="4"/>
  <c r="D51" i="4"/>
  <c r="D39" i="4"/>
  <c r="D26" i="4"/>
  <c r="D352" i="4"/>
  <c r="D340" i="4"/>
  <c r="D328" i="4"/>
  <c r="D316" i="4"/>
  <c r="D304" i="4"/>
  <c r="D292" i="4"/>
  <c r="D280" i="4"/>
  <c r="D268" i="4"/>
  <c r="D256" i="4"/>
  <c r="D244" i="4"/>
  <c r="D232" i="4"/>
  <c r="D254" i="4"/>
  <c r="D219" i="4"/>
  <c r="D207" i="4"/>
  <c r="D195" i="4"/>
  <c r="D183" i="4"/>
  <c r="D171" i="4"/>
  <c r="D159" i="4"/>
  <c r="D147" i="4"/>
  <c r="D135" i="4"/>
  <c r="D100" i="4"/>
  <c r="D86" i="4"/>
  <c r="D52" i="4"/>
  <c r="D38" i="4"/>
  <c r="D242" i="4"/>
  <c r="D112" i="4"/>
  <c r="D98" i="4"/>
  <c r="D230" i="4"/>
  <c r="D124" i="4"/>
  <c r="D110" i="4"/>
  <c r="D76" i="4"/>
  <c r="D62" i="4"/>
  <c r="D27" i="4"/>
  <c r="D122" i="4"/>
  <c r="D88" i="4"/>
  <c r="D74" i="4"/>
  <c r="D40" i="4"/>
  <c r="D64" i="4"/>
  <c r="D50" i="4"/>
  <c r="D223" i="4"/>
  <c r="D355" i="4"/>
  <c r="D343" i="4"/>
  <c r="D331" i="4"/>
  <c r="D319" i="4"/>
  <c r="D307" i="4"/>
  <c r="D295" i="4"/>
  <c r="D283" i="4"/>
  <c r="D271" i="4"/>
  <c r="D259" i="4"/>
  <c r="D247" i="4"/>
  <c r="D235" i="4"/>
  <c r="D222" i="4"/>
  <c r="D210" i="4"/>
  <c r="D198" i="4"/>
  <c r="D186" i="4"/>
  <c r="D174" i="4"/>
  <c r="D162" i="4"/>
  <c r="D150" i="4"/>
  <c r="D138" i="4"/>
  <c r="D125" i="4"/>
  <c r="D113" i="4"/>
  <c r="D101" i="4"/>
  <c r="D89" i="4"/>
  <c r="D77" i="4"/>
  <c r="D65" i="4"/>
  <c r="D53" i="4"/>
  <c r="D41" i="4"/>
  <c r="D354" i="4"/>
  <c r="D342" i="4"/>
  <c r="D330" i="4"/>
  <c r="D318" i="4"/>
  <c r="D306" i="4"/>
  <c r="D294" i="4"/>
  <c r="D282" i="4"/>
  <c r="D270" i="4"/>
  <c r="D258" i="4"/>
  <c r="D353" i="4"/>
  <c r="D341" i="4"/>
  <c r="D329" i="4"/>
  <c r="D317" i="4"/>
  <c r="D305" i="4"/>
  <c r="D293" i="4"/>
  <c r="D281" i="4"/>
  <c r="D269" i="4"/>
  <c r="D257" i="4"/>
  <c r="D245" i="4"/>
  <c r="D233" i="4"/>
  <c r="D127" i="4"/>
  <c r="D115" i="4"/>
  <c r="D103" i="4"/>
  <c r="D91" i="4"/>
  <c r="D79" i="4"/>
  <c r="D67" i="4"/>
  <c r="D55" i="4"/>
  <c r="D43" i="4"/>
  <c r="D30" i="4"/>
  <c r="D246" i="4"/>
  <c r="D114" i="4"/>
  <c r="D66" i="4"/>
  <c r="D31" i="4"/>
  <c r="D234" i="4"/>
  <c r="D126" i="4"/>
  <c r="D78" i="4"/>
  <c r="D211" i="4"/>
  <c r="D199" i="4"/>
  <c r="D187" i="4"/>
  <c r="D175" i="4"/>
  <c r="D163" i="4"/>
  <c r="D151" i="4"/>
  <c r="D139" i="4"/>
  <c r="D90" i="4"/>
  <c r="D42" i="4"/>
  <c r="D221" i="4"/>
  <c r="D209" i="4"/>
  <c r="D197" i="4"/>
  <c r="D185" i="4"/>
  <c r="D173" i="4"/>
  <c r="D161" i="4"/>
  <c r="D149" i="4"/>
  <c r="D137" i="4"/>
  <c r="D102" i="4"/>
  <c r="D54" i="4"/>
  <c r="D29" i="4"/>
  <c r="L3" i="2"/>
  <c r="H20" i="4" l="1"/>
  <c r="G20" i="4"/>
  <c r="AE5" i="4" s="1"/>
  <c r="E62" i="2"/>
  <c r="AD18" i="4" l="1"/>
  <c r="AF23" i="4"/>
  <c r="AF26" i="4"/>
  <c r="AD16" i="4"/>
  <c r="AD20" i="4"/>
  <c r="AF20" i="4"/>
  <c r="D3" i="2"/>
  <c r="E3" i="2"/>
  <c r="AJ6" i="4" l="1"/>
  <c r="AH6" i="4"/>
  <c r="AI6" i="4"/>
  <c r="AF5" i="4"/>
  <c r="AF4" i="4" s="1"/>
  <c r="AF3" i="4" s="1"/>
  <c r="D17" i="6" s="1"/>
  <c r="E17" i="6" s="1"/>
  <c r="A7" i="2"/>
  <c r="AE7" i="8" l="1"/>
  <c r="AE5" i="8" s="1"/>
  <c r="N3" i="2"/>
  <c r="AE4" i="8" l="1"/>
  <c r="AH7" i="4"/>
  <c r="AH5" i="4" s="1"/>
  <c r="AH4" i="4" s="1"/>
  <c r="AH3" i="4" s="1"/>
  <c r="D18" i="6" s="1"/>
  <c r="AG7" i="8"/>
  <c r="AG5" i="8" s="1"/>
  <c r="AF7" i="8"/>
  <c r="O3" i="2"/>
  <c r="AE3" i="8" l="1"/>
  <c r="C16" i="7" s="1"/>
  <c r="D16" i="7" s="1"/>
  <c r="AG4" i="8"/>
  <c r="AI7" i="4"/>
  <c r="AI5" i="4" s="1"/>
  <c r="AI4" i="4" s="1"/>
  <c r="AI3" i="4" s="1"/>
  <c r="D19" i="6" s="1"/>
  <c r="E19" i="6" s="1"/>
  <c r="AJ7" i="4"/>
  <c r="AJ5" i="4" s="1"/>
  <c r="AJ4" i="4" s="1"/>
  <c r="AJ3" i="4" s="1"/>
  <c r="D20" i="6" s="1"/>
  <c r="E20" i="6" s="1"/>
  <c r="AF5" i="8"/>
  <c r="AF4" i="8" s="1"/>
  <c r="AF3" i="8" s="1"/>
  <c r="C17" i="7" s="1"/>
  <c r="Q13" i="2"/>
  <c r="Q14" i="2"/>
  <c r="Q4" i="2"/>
  <c r="Q5" i="2"/>
  <c r="Q6" i="2"/>
  <c r="Q7" i="2"/>
  <c r="Q8" i="2"/>
  <c r="Q9" i="2"/>
  <c r="Q10" i="2"/>
  <c r="Q11" i="2"/>
  <c r="Q12" i="2"/>
  <c r="Q3" i="2"/>
  <c r="N4" i="2"/>
  <c r="E52" i="2"/>
  <c r="E53" i="2"/>
  <c r="E54" i="2"/>
  <c r="E55" i="2"/>
  <c r="E56" i="2"/>
  <c r="E57" i="2"/>
  <c r="E58" i="2"/>
  <c r="E59" i="2"/>
  <c r="E60" i="2"/>
  <c r="E61" i="2"/>
  <c r="E51" i="2"/>
  <c r="E40" i="2"/>
  <c r="E41" i="2"/>
  <c r="E42" i="2"/>
  <c r="E43" i="2"/>
  <c r="E44" i="2"/>
  <c r="E45" i="2"/>
  <c r="E46" i="2"/>
  <c r="E47" i="2"/>
  <c r="E48" i="2"/>
  <c r="E49" i="2"/>
  <c r="E50" i="2"/>
  <c r="E39" i="2"/>
  <c r="E28" i="2"/>
  <c r="E29" i="2"/>
  <c r="E30" i="2"/>
  <c r="E31" i="2"/>
  <c r="E32" i="2"/>
  <c r="E33" i="2"/>
  <c r="E34" i="2"/>
  <c r="E35" i="2"/>
  <c r="E36" i="2"/>
  <c r="E37" i="2"/>
  <c r="E38" i="2"/>
  <c r="E27" i="2"/>
  <c r="E16" i="2"/>
  <c r="E17" i="2"/>
  <c r="E18" i="2"/>
  <c r="E19" i="2"/>
  <c r="E20" i="2"/>
  <c r="E21" i="2"/>
  <c r="E22" i="2"/>
  <c r="E23" i="2"/>
  <c r="E24" i="2"/>
  <c r="E25" i="2"/>
  <c r="E26" i="2"/>
  <c r="E15" i="2"/>
  <c r="E13" i="2"/>
  <c r="E14" i="2"/>
  <c r="E4" i="2"/>
  <c r="E5" i="2"/>
  <c r="E6" i="2"/>
  <c r="E7" i="2"/>
  <c r="E8" i="2"/>
  <c r="E9" i="2"/>
  <c r="E10" i="2"/>
  <c r="E11" i="2"/>
  <c r="E12" i="2"/>
  <c r="AG3" i="8" l="1"/>
  <c r="C18" i="7" s="1"/>
  <c r="D18" i="7" s="1"/>
  <c r="D17" i="7"/>
  <c r="E18" i="6"/>
  <c r="D4" i="2"/>
  <c r="N5" i="2"/>
  <c r="O4" i="2"/>
  <c r="P3" i="2"/>
  <c r="P4" i="2" l="1"/>
  <c r="N6" i="2"/>
  <c r="O6" i="2" s="1"/>
  <c r="O5" i="2"/>
  <c r="N7" i="2" l="1"/>
  <c r="O7" i="2" s="1"/>
  <c r="F25" i="2"/>
  <c r="P5" i="2"/>
  <c r="F19" i="2" l="1"/>
  <c r="G19" i="2" s="1"/>
  <c r="G61" i="2"/>
  <c r="G62" i="2"/>
  <c r="F24" i="2"/>
  <c r="G24" i="2" s="1"/>
  <c r="F15" i="2"/>
  <c r="G15" i="2" s="1"/>
  <c r="F14" i="2"/>
  <c r="G14" i="2" s="1"/>
  <c r="F18" i="2"/>
  <c r="G18" i="2" s="1"/>
  <c r="F30" i="2"/>
  <c r="G30" i="2" s="1"/>
  <c r="F16" i="2"/>
  <c r="G16" i="2" s="1"/>
  <c r="F29" i="2"/>
  <c r="G29" i="2" s="1"/>
  <c r="F13" i="2"/>
  <c r="G13" i="2" s="1"/>
  <c r="G60" i="2"/>
  <c r="G25" i="2"/>
  <c r="F58" i="2"/>
  <c r="G58" i="2" s="1"/>
  <c r="F42" i="2"/>
  <c r="G42" i="2" s="1"/>
  <c r="F49" i="2"/>
  <c r="G49" i="2" s="1"/>
  <c r="F56" i="2"/>
  <c r="G56" i="2" s="1"/>
  <c r="F40" i="2"/>
  <c r="G40" i="2" s="1"/>
  <c r="F51" i="2"/>
  <c r="G51" i="2" s="1"/>
  <c r="F54" i="2"/>
  <c r="G54" i="2" s="1"/>
  <c r="F38" i="2"/>
  <c r="G38" i="2" s="1"/>
  <c r="F45" i="2"/>
  <c r="G45" i="2" s="1"/>
  <c r="F52" i="2"/>
  <c r="F36" i="2"/>
  <c r="G36" i="2" s="1"/>
  <c r="F47" i="2"/>
  <c r="G47" i="2" s="1"/>
  <c r="F26" i="2"/>
  <c r="G26" i="2" s="1"/>
  <c r="F32" i="2"/>
  <c r="G32" i="2" s="1"/>
  <c r="F31" i="2"/>
  <c r="G31" i="2" s="1"/>
  <c r="F50" i="2"/>
  <c r="G50" i="2" s="1"/>
  <c r="F57" i="2"/>
  <c r="G57" i="2" s="1"/>
  <c r="F41" i="2"/>
  <c r="G41" i="2" s="1"/>
  <c r="F48" i="2"/>
  <c r="G48" i="2" s="1"/>
  <c r="F59" i="2"/>
  <c r="G59" i="2" s="1"/>
  <c r="F43" i="2"/>
  <c r="G43" i="2" s="1"/>
  <c r="F20" i="2"/>
  <c r="G20" i="2" s="1"/>
  <c r="F21" i="2"/>
  <c r="G21" i="2" s="1"/>
  <c r="P6" i="2"/>
  <c r="F23" i="2"/>
  <c r="G23" i="2" s="1"/>
  <c r="F33" i="2"/>
  <c r="G33" i="2" s="1"/>
  <c r="F28" i="2"/>
  <c r="F27" i="2"/>
  <c r="G27" i="2" s="1"/>
  <c r="F46" i="2"/>
  <c r="G46" i="2" s="1"/>
  <c r="F53" i="2"/>
  <c r="G53" i="2" s="1"/>
  <c r="F37" i="2"/>
  <c r="G37" i="2" s="1"/>
  <c r="F44" i="2"/>
  <c r="G44" i="2" s="1"/>
  <c r="F55" i="2"/>
  <c r="G55" i="2" s="1"/>
  <c r="F39" i="2"/>
  <c r="G39" i="2" s="1"/>
  <c r="F22" i="2"/>
  <c r="G22" i="2" s="1"/>
  <c r="F17" i="2"/>
  <c r="G17" i="2" s="1"/>
  <c r="F35" i="2"/>
  <c r="G35" i="2" s="1"/>
  <c r="F34" i="2"/>
  <c r="G34" i="2" s="1"/>
  <c r="G52" i="2" l="1"/>
  <c r="H3" i="2"/>
  <c r="F4" i="2"/>
  <c r="G4" i="2" s="1"/>
  <c r="F10" i="2"/>
  <c r="G10" i="2" s="1"/>
  <c r="F5" i="2"/>
  <c r="G5" i="2" s="1"/>
  <c r="F8" i="2"/>
  <c r="G8" i="2" s="1"/>
  <c r="F7" i="2"/>
  <c r="G7" i="2" s="1"/>
  <c r="F9" i="2"/>
  <c r="G9" i="2" s="1"/>
  <c r="F12" i="2"/>
  <c r="G12" i="2" s="1"/>
  <c r="F11" i="2"/>
  <c r="G11" i="2" s="1"/>
  <c r="F3" i="2"/>
  <c r="G3" i="2" s="1"/>
  <c r="F6" i="2"/>
  <c r="G6" i="2" s="1"/>
  <c r="P7" i="2"/>
  <c r="G28" i="2"/>
  <c r="I3" i="2" s="1"/>
  <c r="K4" i="2" l="1"/>
  <c r="T3" i="2" l="1"/>
  <c r="K3" i="2"/>
  <c r="J4" i="2"/>
  <c r="J3" i="2" s="1"/>
  <c r="D16" i="1" l="1"/>
  <c r="A23" i="2" s="1"/>
  <c r="A29" i="2" s="1"/>
  <c r="B15" i="1" s="1"/>
  <c r="S3" i="2"/>
  <c r="D15" i="1" l="1"/>
</calcChain>
</file>

<file path=xl/sharedStrings.xml><?xml version="1.0" encoding="utf-8"?>
<sst xmlns="http://schemas.openxmlformats.org/spreadsheetml/2006/main" count="987" uniqueCount="214">
  <si>
    <t>Month</t>
  </si>
  <si>
    <t>Year</t>
  </si>
  <si>
    <t>Yr. Start @ LAMC</t>
  </si>
  <si>
    <t>Mo. Start @ LAMC</t>
  </si>
  <si>
    <t>January</t>
  </si>
  <si>
    <t>March</t>
  </si>
  <si>
    <t>April</t>
  </si>
  <si>
    <t>May</t>
  </si>
  <si>
    <t>June</t>
  </si>
  <si>
    <t>July</t>
  </si>
  <si>
    <t>August</t>
  </si>
  <si>
    <t>September</t>
  </si>
  <si>
    <t>October</t>
  </si>
  <si>
    <t>November</t>
  </si>
  <si>
    <t>December</t>
  </si>
  <si>
    <t>Start @ LAMC Prior to 2010</t>
  </si>
  <si>
    <t>Yes</t>
  </si>
  <si>
    <t>No</t>
  </si>
  <si>
    <t>Mo. &amp; Yr. Start @ LAMC</t>
  </si>
  <si>
    <t xml:space="preserve">Start Date VLOOKUP Table </t>
  </si>
  <si>
    <t>UNAC Salary</t>
  </si>
  <si>
    <t>Oct 1 2010 Increase</t>
  </si>
  <si>
    <t>Oct 1 2011 Increase</t>
  </si>
  <si>
    <t>Oct 1 2012 Increase</t>
  </si>
  <si>
    <t>Oct 1 2013 Increase</t>
  </si>
  <si>
    <t>Oct 1 2014 Increase</t>
  </si>
  <si>
    <t>Diff b/t Current &amp; UNAC</t>
  </si>
  <si>
    <t>Total Lost</t>
  </si>
  <si>
    <t>How Much Lost Calculation</t>
  </si>
  <si>
    <t>12/12</t>
  </si>
  <si>
    <t>11/12</t>
  </si>
  <si>
    <t>10/12</t>
  </si>
  <si>
    <t>9/12</t>
  </si>
  <si>
    <t>8/12</t>
  </si>
  <si>
    <t>7/12</t>
  </si>
  <si>
    <t>6/12</t>
  </si>
  <si>
    <t>5/12</t>
  </si>
  <si>
    <t>4/12</t>
  </si>
  <si>
    <t>3/12</t>
  </si>
  <si>
    <t>2/12</t>
  </si>
  <si>
    <t>1/12</t>
  </si>
  <si>
    <t xml:space="preserve">Start Date VLOOKUP Result </t>
  </si>
  <si>
    <t>Start Mo. VLOOKUP Pro-Rating Table</t>
  </si>
  <si>
    <t>How Much Money Have You Lost?</t>
  </si>
  <si>
    <t>Prior to 10/1/14</t>
  </si>
  <si>
    <t>After 10/1/14</t>
  </si>
  <si>
    <t xml:space="preserve">How Much Lost </t>
  </si>
  <si>
    <t>Prior To Oct 1 2014</t>
  </si>
  <si>
    <t>What to show on calculator</t>
  </si>
  <si>
    <t>Annual Rate</t>
  </si>
  <si>
    <t>Enter your hourly wage rate:</t>
  </si>
  <si>
    <t>Enter information in boxes below:</t>
  </si>
  <si>
    <t>Follow instructions below:</t>
  </si>
  <si>
    <t>On average, how many hours are you scheduled to work each week:</t>
  </si>
  <si>
    <t xml:space="preserve"> and September 2014, if you had been a UNAC/UHCP RN:</t>
  </si>
  <si>
    <t>Febuary</t>
  </si>
  <si>
    <t>Since 2010, RNs at Kaiser LAMC have missed out on four of the across-the-board wage increases that UNAC/UHCP RNs have received.  On Oct. 1, 2014, Kaiser LAMC RNs will miss out on an additional wage increase, leaving them even further behind UNAC/UHCP members.  Using the calculator below, estimate how much money you have lost in total as a result of not receiving the same wage increases as UNAC/UHCP RNs.</t>
  </si>
  <si>
    <t>UNAC/UHCP RNs are getting an additional 3% increase on Oct 1, 2014.  If you do not get this increase you will have lost, through Sept 30th, 2015, an estimated total of:</t>
  </si>
  <si>
    <t xml:space="preserve">Here is an estimate of how much more you would have been paid in total between </t>
  </si>
  <si>
    <t>List of NUHW LAMC Job Titles</t>
  </si>
  <si>
    <t>Level II Staff RN - Hospital</t>
  </si>
  <si>
    <t>Level II Step Down Unit RN</t>
  </si>
  <si>
    <t>Public Health Nurse</t>
  </si>
  <si>
    <t>Charge RN Grid Placement</t>
  </si>
  <si>
    <t>Public Health RN Grid Placement</t>
  </si>
  <si>
    <t>FT, PT, or PD</t>
  </si>
  <si>
    <t>Current Step</t>
  </si>
  <si>
    <t>Start</t>
  </si>
  <si>
    <t>1 Yr.</t>
  </si>
  <si>
    <t>2 Yr.</t>
  </si>
  <si>
    <t>3 Yr.</t>
  </si>
  <si>
    <t>4 Yr.</t>
  </si>
  <si>
    <t>5 Yr.</t>
  </si>
  <si>
    <t>6 Yr.</t>
  </si>
  <si>
    <t>8 Yr.</t>
  </si>
  <si>
    <t>10 Yr.</t>
  </si>
  <si>
    <t>15 Yr.</t>
  </si>
  <si>
    <t>20 Yr.</t>
  </si>
  <si>
    <t>25 Yr.</t>
  </si>
  <si>
    <t>Day</t>
  </si>
  <si>
    <t>Date of Step Increase</t>
  </si>
  <si>
    <t xml:space="preserve">Day </t>
  </si>
  <si>
    <t>Job Title Conversion</t>
  </si>
  <si>
    <t>Entered Date</t>
  </si>
  <si>
    <t>VLOOKUP Value</t>
  </si>
  <si>
    <t>UNAC Job Title</t>
  </si>
  <si>
    <t>FT</t>
  </si>
  <si>
    <t>PT</t>
  </si>
  <si>
    <t>PD</t>
  </si>
  <si>
    <t>Inexpd.</t>
  </si>
  <si>
    <t>Level II Staff RN - Hospital (Inexpd.)</t>
  </si>
  <si>
    <t>Error</t>
  </si>
  <si>
    <t>Level II (FT/PT)</t>
  </si>
  <si>
    <t>Level II (PD)</t>
  </si>
  <si>
    <t>Level III (FT/PT)</t>
  </si>
  <si>
    <t>Level III (PD)</t>
  </si>
  <si>
    <t>Level IV (FT/PT)</t>
  </si>
  <si>
    <t>Level V (FT/PT)</t>
  </si>
  <si>
    <t>Level IV (PD)</t>
  </si>
  <si>
    <t>Level V (PD)</t>
  </si>
  <si>
    <t>Sr. PHN (FT/PT)</t>
  </si>
  <si>
    <t>PHN (FT/PT)</t>
  </si>
  <si>
    <t>UNAC Wage Grid Look Up</t>
  </si>
  <si>
    <t>Level II (Inexpd.) (FT/PT)</t>
  </si>
  <si>
    <t>Level II (Inexpd.) (PD)</t>
  </si>
  <si>
    <t>Grid Name</t>
  </si>
  <si>
    <t>Grid #</t>
  </si>
  <si>
    <t>Sr. PHN (PD)</t>
  </si>
  <si>
    <t>PHN (PD)</t>
  </si>
  <si>
    <t xml:space="preserve"> </t>
  </si>
  <si>
    <t>UNAC Hourly Rate VLOOKUP</t>
  </si>
  <si>
    <t>Current</t>
  </si>
  <si>
    <t>Year 1 +3%</t>
  </si>
  <si>
    <t>Year 2 +3%</t>
  </si>
  <si>
    <t>Step Advancement Calculations</t>
  </si>
  <si>
    <t>FT, PT, or PD:</t>
  </si>
  <si>
    <t>Current Step Hours</t>
  </si>
  <si>
    <t>Year 1 Step Hours</t>
  </si>
  <si>
    <t>Year 1 Step Rate</t>
  </si>
  <si>
    <t>Year 2 Step Hours</t>
  </si>
  <si>
    <t>Year 2 Step Rate</t>
  </si>
  <si>
    <t>Year 3 Step Hours</t>
  </si>
  <si>
    <t>Year 3 Step Rate</t>
  </si>
  <si>
    <t>Start Date</t>
  </si>
  <si>
    <t>Current Date</t>
  </si>
  <si>
    <t># of Weeks Since Last Step Increase</t>
  </si>
  <si>
    <t>Est. # of Hours Worked Since Last Step Increase</t>
  </si>
  <si>
    <t>Full Time Calculations</t>
  </si>
  <si>
    <t>Part-Time Calculations</t>
  </si>
  <si>
    <t>Total # of Hours</t>
  </si>
  <si>
    <t>Hours Worked/Yr.</t>
  </si>
  <si>
    <t>Total # of Hours Yr. 1</t>
  </si>
  <si>
    <t>Step Year 1</t>
  </si>
  <si>
    <t>Month VLOOKUP</t>
  </si>
  <si>
    <t>Numeric Mo.</t>
  </si>
  <si>
    <t>Mo. Name</t>
  </si>
  <si>
    <t>Level III Charge RN</t>
  </si>
  <si>
    <t>Hourly Base Rate Year 2:</t>
  </si>
  <si>
    <t>Total # of Hours Yr. 2:</t>
  </si>
  <si>
    <t>Hourly Base Rate Year 1:</t>
  </si>
  <si>
    <t>Step Year 2:</t>
  </si>
  <si>
    <t>Total # of Hours Yr. 3:</t>
  </si>
  <si>
    <t>Step Year 3:</t>
  </si>
  <si>
    <t>Year 1 UNAC Hourly Rate</t>
  </si>
  <si>
    <t>Year 2 UNAC Hourly Rate</t>
  </si>
  <si>
    <t>Year 3 UNAC Hourly Rate</t>
  </si>
  <si>
    <t>Wage/Error/Blank</t>
  </si>
  <si>
    <t>FT OR PT/PD</t>
  </si>
  <si>
    <t>If Trigger From Cur.:</t>
  </si>
  <si>
    <t>Level II</t>
  </si>
  <si>
    <t>Level III</t>
  </si>
  <si>
    <t>Level IV</t>
  </si>
  <si>
    <t>Level V</t>
  </si>
  <si>
    <t>PHN</t>
  </si>
  <si>
    <t>Sr. PHN</t>
  </si>
  <si>
    <t>Status</t>
  </si>
  <si>
    <t>Step</t>
  </si>
  <si>
    <t>Date of Last Step Increase</t>
  </si>
  <si>
    <t>Grid Look-Up</t>
  </si>
  <si>
    <t>Grid Look Up</t>
  </si>
  <si>
    <t>SR. PHN (FT/PT)</t>
  </si>
  <si>
    <t>SR. PHN (PD)</t>
  </si>
  <si>
    <t>Grid #:</t>
  </si>
  <si>
    <t>Look Up Value:</t>
  </si>
  <si>
    <t>Hourly Rate Or Blank</t>
  </si>
  <si>
    <t>Follow Instructions Below:</t>
  </si>
  <si>
    <t>Enter Information In Boxes Below:</t>
  </si>
  <si>
    <t>Are you Full-Time, Part-Time or Per Diem (Click on the box to the right and select the option that best describes your status)</t>
  </si>
  <si>
    <t>If you are a Level III Charge RN, please click on the box to the right and select from the drop down menu the option which best describes the RNs you typically supervise. Otherwise leave this box blank</t>
  </si>
  <si>
    <t>If you are a Public Health Nurse, do you perform any supervisorial duties? Please click on the box to the right and select "Yes" or "No" from the drop down menu. Otherwise leave this box blank.</t>
  </si>
  <si>
    <t>What step are you currently on? (Please click on the box to the right and select from the options in the drop down menu)</t>
  </si>
  <si>
    <t>Please click on the box to the right and select from the drop down menu the option that best matches your current job title</t>
  </si>
  <si>
    <t>BSN?</t>
  </si>
  <si>
    <t>Bachelors</t>
  </si>
  <si>
    <t>Did you earn a BSN prior to being hired at Kaiser?</t>
  </si>
  <si>
    <t>Hourly</t>
  </si>
  <si>
    <t xml:space="preserve">Est. Current Base Earnings If You Were A Member of UNAC/UHCP: </t>
  </si>
  <si>
    <t>Estimated Current Base Earnings:</t>
  </si>
  <si>
    <t>Level III Spec Unit Staff RN - Hospital NICU -Transport RN</t>
  </si>
  <si>
    <t>ACP</t>
  </si>
  <si>
    <t>ADP?</t>
  </si>
  <si>
    <t>Hourly Base Rate Year 3:</t>
  </si>
  <si>
    <t>What was the date of your last step increase? If you have not received a step increase please enter your date of hire as an RN.  (Select month, day and year from the drop down menus.)</t>
  </si>
  <si>
    <t>Did you begin work as an RN at Kaiser LAMC prior to 2010? (Click on space to right and choose yes or no from the drop down menu.)</t>
  </si>
  <si>
    <t>If you began work as an RN at Kaiser LAMC in 2010 or after, please select your start month and year.  (Click on space to the right and select the month and year you started at Kaiser LAMC)</t>
  </si>
  <si>
    <t>What was the date of your last step increase? If you have not received a step increase please enter your date of hire as an RN (Select month, day and year from the drop down menus.)</t>
  </si>
  <si>
    <t>Are you enrolled in the Alternate Compensation Program (ACP)?  (Please click on the box to the right and select "Yes" or "No" from the drop down menu.)</t>
  </si>
  <si>
    <t>Please click on the space to the right and select from the drop down menu the option that best matches your current job title.</t>
  </si>
  <si>
    <t>Are you Full-Time, Part-Time or Per Diem (Please click on the box to the right and select the option that best describes your status)</t>
  </si>
  <si>
    <t>Answer the questions below and estimate your base rate if you were a member of UNAC/UHCP:</t>
  </si>
  <si>
    <t>Prev. Step Hours</t>
  </si>
  <si>
    <t>Hrs Since Prev. Step</t>
  </si>
  <si>
    <t>Year  3 +4%</t>
  </si>
  <si>
    <t>Est. Base Earnings On Oct. 1st 2015 (3% ATB):</t>
  </si>
  <si>
    <t>Est. Base Earnings On Oct 1st 2016 (3% ATB):</t>
  </si>
  <si>
    <t>Est. Base Earnings On Oct 1st 2017 (4% ATB):</t>
  </si>
  <si>
    <t>Estimate your Base Rate under the New UNAC/UHCP Contract:</t>
  </si>
  <si>
    <t>Column1</t>
  </si>
  <si>
    <t>Column2</t>
  </si>
  <si>
    <t>Column3</t>
  </si>
  <si>
    <t>Column4</t>
  </si>
  <si>
    <t>Column5</t>
  </si>
  <si>
    <t>Column6</t>
  </si>
  <si>
    <t>Column7</t>
  </si>
  <si>
    <t>Column8</t>
  </si>
  <si>
    <t>Column9</t>
  </si>
  <si>
    <t>Column10</t>
  </si>
  <si>
    <t>Column11</t>
  </si>
  <si>
    <t>Column12</t>
  </si>
  <si>
    <t>Column13</t>
  </si>
  <si>
    <t>Column14</t>
  </si>
  <si>
    <t>Column15</t>
  </si>
  <si>
    <t>Current UNAC Hourly Rate</t>
  </si>
  <si>
    <t>Annual Equivalent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</si>
</sst>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quot;$&quot;#,##0.00"/>
    <numFmt numFmtId="165" formatCode="&quot;$&quot;#,##0"/>
    <numFmt numFmtId="166" formatCode="0.000"/>
    <numFmt numFmtId="167" formatCode="0.0"/>
    <numFmt numFmtId="168" formatCode="&quot;$&quot;#,##0.000"/>
    <numFmt numFmtId="169" formatCode="0.0%"/>
  </numFmts>
  <fonts count="34" x14ac:knownFonts="1">
    <font>
      <sz val="11"/>
      <color theme="1"/>
      <name val="Calibri"/>
      <family val="2"/>
      <scheme val="minor"/>
    </font>
    <font>
      <b/>
      <sz val="11"/>
      <color theme="1"/>
      <name val="Calibri"/>
      <family val="2"/>
      <scheme val="minor"/>
    </font>
    <font>
      <b/>
      <sz val="12"/>
      <color rgb="FF145386"/>
      <name val="Calibri"/>
      <family val="2"/>
      <scheme val="minor"/>
    </font>
    <font>
      <b/>
      <sz val="14"/>
      <color rgb="FF145386"/>
      <name val="Calibri"/>
      <family val="2"/>
      <scheme val="minor"/>
    </font>
    <font>
      <b/>
      <sz val="28"/>
      <color rgb="FFFF0000"/>
      <name val="Calibri"/>
      <family val="2"/>
      <scheme val="minor"/>
    </font>
    <font>
      <sz val="28"/>
      <color theme="1"/>
      <name val="Calibri"/>
      <family val="2"/>
      <scheme val="minor"/>
    </font>
    <font>
      <b/>
      <sz val="36"/>
      <color rgb="FFFF0000"/>
      <name val="Calibri"/>
      <family val="2"/>
      <scheme val="minor"/>
    </font>
    <font>
      <sz val="36"/>
      <color theme="1"/>
      <name val="Calibri"/>
      <family val="2"/>
      <scheme val="minor"/>
    </font>
    <font>
      <b/>
      <sz val="13"/>
      <color rgb="FF145386"/>
      <name val="Calibri"/>
      <family val="2"/>
      <scheme val="minor"/>
    </font>
    <font>
      <sz val="13"/>
      <color theme="1"/>
      <name val="Calibri"/>
      <family val="2"/>
      <scheme val="minor"/>
    </font>
    <font>
      <b/>
      <sz val="32"/>
      <color theme="0"/>
      <name val="Calibri"/>
      <family val="2"/>
      <scheme val="minor"/>
    </font>
    <font>
      <sz val="32"/>
      <color theme="0"/>
      <name val="Calibri"/>
      <family val="2"/>
      <scheme val="minor"/>
    </font>
    <font>
      <b/>
      <sz val="14"/>
      <color theme="0"/>
      <name val="Calibri"/>
      <family val="2"/>
      <scheme val="minor"/>
    </font>
    <font>
      <b/>
      <sz val="14"/>
      <color theme="1"/>
      <name val="Calibri"/>
      <family val="2"/>
      <scheme val="minor"/>
    </font>
    <font>
      <sz val="11"/>
      <color theme="1"/>
      <name val="Calibri"/>
      <family val="2"/>
      <scheme val="minor"/>
    </font>
    <font>
      <b/>
      <sz val="12"/>
      <color theme="0"/>
      <name val="Calibri"/>
      <family val="2"/>
      <scheme val="minor"/>
    </font>
    <font>
      <sz val="12"/>
      <color theme="0"/>
      <name val="Calibri"/>
      <family val="2"/>
      <scheme val="minor"/>
    </font>
    <font>
      <sz val="10"/>
      <color theme="1"/>
      <name val="Calibri"/>
      <family val="2"/>
      <scheme val="minor"/>
    </font>
    <font>
      <b/>
      <sz val="10"/>
      <color theme="1"/>
      <name val="Calibri"/>
      <family val="2"/>
      <scheme val="minor"/>
    </font>
    <font>
      <sz val="16"/>
      <color theme="1"/>
      <name val="Calibri"/>
      <family val="2"/>
      <scheme val="minor"/>
    </font>
    <font>
      <b/>
      <sz val="16"/>
      <color theme="1"/>
      <name val="Calibri"/>
      <family val="2"/>
      <scheme val="minor"/>
    </font>
    <font>
      <sz val="10"/>
      <name val="Calibri"/>
      <family val="2"/>
      <scheme val="minor"/>
    </font>
    <font>
      <b/>
      <sz val="12"/>
      <color theme="1"/>
      <name val="Calibri"/>
      <family val="2"/>
      <scheme val="minor"/>
    </font>
    <font>
      <b/>
      <sz val="18"/>
      <color theme="0"/>
      <name val="Calibri"/>
      <family val="2"/>
      <scheme val="minor"/>
    </font>
    <font>
      <sz val="18"/>
      <color theme="0"/>
      <name val="Calibri"/>
      <family val="2"/>
      <scheme val="minor"/>
    </font>
    <font>
      <b/>
      <sz val="11"/>
      <color rgb="FF145386"/>
      <name val="Calibri"/>
      <family val="2"/>
      <scheme val="minor"/>
    </font>
    <font>
      <sz val="12"/>
      <color theme="1"/>
      <name val="Calibri"/>
      <family val="2"/>
      <scheme val="minor"/>
    </font>
    <font>
      <sz val="14"/>
      <color theme="1"/>
      <name val="Calibri"/>
      <family val="2"/>
      <scheme val="minor"/>
    </font>
    <font>
      <b/>
      <sz val="14"/>
      <color rgb="FFFF0000"/>
      <name val="Calibri"/>
      <family val="2"/>
      <scheme val="minor"/>
    </font>
    <font>
      <b/>
      <sz val="13"/>
      <color theme="0"/>
      <name val="Calibri"/>
      <family val="2"/>
      <scheme val="minor"/>
    </font>
    <font>
      <sz val="13.5"/>
      <color theme="1"/>
      <name val="Calibri"/>
      <family val="2"/>
      <scheme val="minor"/>
    </font>
    <font>
      <b/>
      <sz val="13.5"/>
      <color theme="0"/>
      <name val="Calibri"/>
      <family val="2"/>
      <scheme val="minor"/>
    </font>
    <font>
      <b/>
      <sz val="12.5"/>
      <color theme="0"/>
      <name val="Calibri"/>
      <family val="2"/>
      <scheme val="minor"/>
    </font>
    <font>
      <b/>
      <sz val="16"/>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A94F"/>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145386"/>
        <bgColor indexed="64"/>
      </patternFill>
    </fill>
    <fill>
      <patternFill patternType="solid">
        <fgColor theme="8" tint="0.79998168889431442"/>
        <bgColor indexed="64"/>
      </patternFill>
    </fill>
    <fill>
      <patternFill patternType="solid">
        <fgColor theme="4" tint="0.79998168889431442"/>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dotted">
        <color indexed="64"/>
      </left>
      <right style="medium">
        <color indexed="64"/>
      </right>
      <top style="medium">
        <color indexed="64"/>
      </top>
      <bottom style="dott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dashed">
        <color indexed="64"/>
      </left>
      <right/>
      <top style="medium">
        <color indexed="64"/>
      </top>
      <bottom style="medium">
        <color indexed="64"/>
      </bottom>
      <diagonal/>
    </border>
    <border>
      <left style="dashed">
        <color indexed="64"/>
      </left>
      <right style="medium">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style="dashed">
        <color indexed="64"/>
      </left>
      <right style="medium">
        <color indexed="64"/>
      </right>
      <top style="medium">
        <color indexed="64"/>
      </top>
      <bottom style="dotted">
        <color indexed="64"/>
      </bottom>
      <diagonal/>
    </border>
    <border>
      <left style="dashed">
        <color indexed="64"/>
      </left>
      <right style="dashed">
        <color indexed="64"/>
      </right>
      <top style="medium">
        <color indexed="64"/>
      </top>
      <bottom style="dotted">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43" fontId="14" fillId="0" borderId="0" applyFont="0" applyFill="0" applyBorder="0" applyAlignment="0" applyProtection="0"/>
  </cellStyleXfs>
  <cellXfs count="193">
    <xf numFmtId="0" fontId="0" fillId="0" borderId="0" xfId="0"/>
    <xf numFmtId="0" fontId="0" fillId="0" borderId="0" xfId="0" applyAlignment="1">
      <alignment horizontal="center" vertical="center" wrapText="1"/>
    </xf>
    <xf numFmtId="0" fontId="0" fillId="0" borderId="0" xfId="0" applyNumberFormat="1"/>
    <xf numFmtId="49" fontId="0" fillId="0" borderId="0" xfId="0" applyNumberFormat="1"/>
    <xf numFmtId="0" fontId="0" fillId="0" borderId="0" xfId="0" applyAlignment="1">
      <alignment wrapText="1"/>
    </xf>
    <xf numFmtId="0" fontId="1" fillId="0" borderId="0" xfId="0" applyFont="1"/>
    <xf numFmtId="0" fontId="1" fillId="0" borderId="0" xfId="0" applyFont="1" applyAlignment="1">
      <alignment wrapText="1"/>
    </xf>
    <xf numFmtId="0" fontId="1" fillId="0" borderId="0" xfId="0" applyFont="1" applyAlignment="1">
      <alignment horizontal="center" vertical="center" wrapText="1"/>
    </xf>
    <xf numFmtId="165" fontId="0" fillId="0" borderId="0" xfId="0" applyNumberFormat="1"/>
    <xf numFmtId="49" fontId="0" fillId="0" borderId="0" xfId="0" applyNumberFormat="1" applyAlignment="1">
      <alignment horizontal="center"/>
    </xf>
    <xf numFmtId="0" fontId="1" fillId="0" borderId="0" xfId="0" applyFont="1" applyAlignment="1">
      <alignment horizontal="center" wrapText="1"/>
    </xf>
    <xf numFmtId="0" fontId="0" fillId="3" borderId="0" xfId="0" applyFill="1"/>
    <xf numFmtId="165" fontId="0" fillId="0" borderId="0" xfId="0" applyNumberFormat="1" applyAlignment="1">
      <alignment horizontal="center"/>
    </xf>
    <xf numFmtId="165" fontId="0" fillId="0" borderId="0" xfId="0" applyNumberFormat="1" applyFont="1" applyAlignment="1">
      <alignment wrapText="1"/>
    </xf>
    <xf numFmtId="0" fontId="3" fillId="3" borderId="0" xfId="0" applyFont="1" applyFill="1" applyBorder="1" applyAlignment="1">
      <alignment vertical="top" wrapText="1"/>
    </xf>
    <xf numFmtId="0" fontId="8" fillId="4" borderId="5" xfId="0" applyFont="1" applyFill="1" applyBorder="1" applyAlignment="1">
      <alignment horizontal="center"/>
    </xf>
    <xf numFmtId="0" fontId="0" fillId="3" borderId="0" xfId="0" applyFill="1" applyBorder="1" applyAlignment="1">
      <alignment wrapText="1"/>
    </xf>
    <xf numFmtId="164" fontId="8" fillId="4" borderId="13" xfId="0" applyNumberFormat="1" applyFont="1" applyFill="1" applyBorder="1" applyAlignment="1">
      <alignment horizontal="center" vertical="center" wrapText="1"/>
    </xf>
    <xf numFmtId="165" fontId="6" fillId="3" borderId="0" xfId="0" applyNumberFormat="1" applyFont="1" applyFill="1" applyBorder="1" applyAlignment="1">
      <alignment horizontal="center" vertical="center"/>
    </xf>
    <xf numFmtId="0" fontId="7" fillId="3" borderId="0" xfId="0" applyFont="1" applyFill="1" applyBorder="1" applyAlignment="1"/>
    <xf numFmtId="164" fontId="0" fillId="0" borderId="0" xfId="0" applyNumberFormat="1"/>
    <xf numFmtId="0" fontId="0" fillId="0" borderId="0" xfId="0" applyAlignment="1">
      <alignment vertical="center"/>
    </xf>
    <xf numFmtId="0" fontId="12" fillId="6" borderId="1" xfId="0" applyFont="1" applyFill="1" applyBorder="1" applyAlignment="1">
      <alignment horizontal="center" vertical="center" wrapText="1"/>
    </xf>
    <xf numFmtId="0" fontId="1" fillId="0" borderId="0" xfId="0" applyFont="1" applyAlignment="1">
      <alignment vertical="center"/>
    </xf>
    <xf numFmtId="0" fontId="1" fillId="3" borderId="0" xfId="0" applyFont="1" applyFill="1" applyAlignment="1">
      <alignment horizontal="center" vertical="center" wrapText="1"/>
    </xf>
    <xf numFmtId="0" fontId="1" fillId="3" borderId="0" xfId="0" applyFont="1" applyFill="1" applyAlignment="1">
      <alignment horizontal="center" vertical="center"/>
    </xf>
    <xf numFmtId="0" fontId="17" fillId="0" borderId="0" xfId="0" applyFont="1" applyAlignment="1">
      <alignment vertical="center"/>
    </xf>
    <xf numFmtId="0" fontId="18" fillId="3" borderId="0" xfId="0" applyFont="1" applyFill="1" applyAlignment="1">
      <alignment horizontal="center" vertical="center" wrapText="1"/>
    </xf>
    <xf numFmtId="0" fontId="18" fillId="0" borderId="0" xfId="0" applyFont="1" applyAlignment="1">
      <alignment vertical="center"/>
    </xf>
    <xf numFmtId="0" fontId="1" fillId="0" borderId="0" xfId="0" applyFont="1" applyAlignment="1">
      <alignment horizontal="center"/>
    </xf>
    <xf numFmtId="166" fontId="21" fillId="0" borderId="0" xfId="1" applyNumberFormat="1" applyFont="1" applyBorder="1" applyAlignment="1">
      <alignment horizontal="center" vertical="center"/>
    </xf>
    <xf numFmtId="0" fontId="0" fillId="0" borderId="0" xfId="0" applyAlignment="1">
      <alignment horizontal="center" vertical="center"/>
    </xf>
    <xf numFmtId="0" fontId="1" fillId="3" borderId="0" xfId="0" applyFont="1" applyFill="1" applyAlignment="1">
      <alignment wrapText="1"/>
    </xf>
    <xf numFmtId="166" fontId="0" fillId="0" borderId="0" xfId="0" applyNumberFormat="1" applyAlignment="1">
      <alignment horizontal="center" vertical="center"/>
    </xf>
    <xf numFmtId="0" fontId="12" fillId="0" borderId="0" xfId="0" applyFont="1" applyFill="1" applyAlignment="1">
      <alignment horizontal="center" vertical="center" wrapText="1"/>
    </xf>
    <xf numFmtId="166" fontId="0" fillId="0" borderId="0" xfId="0" applyNumberFormat="1"/>
    <xf numFmtId="2" fontId="0" fillId="0" borderId="0" xfId="0" applyNumberFormat="1"/>
    <xf numFmtId="14" fontId="0" fillId="0" borderId="0" xfId="0" applyNumberFormat="1"/>
    <xf numFmtId="14" fontId="0" fillId="0" borderId="0" xfId="0" applyNumberFormat="1" applyAlignment="1">
      <alignment horizontal="right"/>
    </xf>
    <xf numFmtId="166" fontId="0" fillId="0" borderId="0" xfId="0" applyNumberFormat="1" applyAlignment="1">
      <alignment horizontal="right"/>
    </xf>
    <xf numFmtId="0" fontId="0" fillId="0" borderId="0" xfId="0" applyAlignment="1">
      <alignment horizontal="right"/>
    </xf>
    <xf numFmtId="0" fontId="1" fillId="0" borderId="0" xfId="0" applyFont="1" applyAlignment="1">
      <alignment horizontal="right"/>
    </xf>
    <xf numFmtId="167" fontId="0" fillId="0" borderId="0" xfId="0" applyNumberFormat="1" applyAlignment="1">
      <alignment horizontal="right"/>
    </xf>
    <xf numFmtId="168" fontId="0" fillId="0" borderId="0" xfId="0" applyNumberFormat="1" applyAlignment="1">
      <alignment horizontal="right"/>
    </xf>
    <xf numFmtId="0" fontId="1" fillId="3" borderId="0" xfId="0" applyFont="1" applyFill="1" applyAlignment="1">
      <alignment horizontal="center" vertical="center" wrapText="1"/>
    </xf>
    <xf numFmtId="0" fontId="1" fillId="3" borderId="0" xfId="0" applyFont="1" applyFill="1" applyAlignment="1"/>
    <xf numFmtId="0" fontId="2" fillId="8" borderId="9" xfId="0" applyFont="1" applyFill="1" applyBorder="1" applyAlignment="1">
      <alignment horizontal="left" vertical="center" wrapText="1"/>
    </xf>
    <xf numFmtId="0" fontId="2" fillId="8" borderId="9" xfId="0" applyFont="1" applyFill="1" applyBorder="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0" fillId="0" borderId="0" xfId="0" applyFill="1"/>
    <xf numFmtId="0" fontId="0" fillId="0" borderId="0" xfId="0" applyFont="1" applyAlignment="1">
      <alignment horizontal="right"/>
    </xf>
    <xf numFmtId="0" fontId="0" fillId="3" borderId="0" xfId="0" applyFill="1" applyAlignment="1"/>
    <xf numFmtId="0" fontId="29" fillId="6" borderId="6" xfId="0" applyFont="1" applyFill="1" applyBorder="1" applyAlignment="1">
      <alignment horizontal="left" vertical="top" wrapText="1"/>
    </xf>
    <xf numFmtId="0" fontId="29" fillId="6" borderId="6" xfId="0" applyFont="1" applyFill="1" applyBorder="1" applyAlignment="1">
      <alignment horizontal="left" vertical="center" wrapText="1"/>
    </xf>
    <xf numFmtId="1" fontId="0" fillId="0" borderId="0" xfId="0" applyNumberFormat="1" applyAlignment="1">
      <alignment horizontal="center" vertical="center"/>
    </xf>
    <xf numFmtId="1" fontId="0" fillId="0" borderId="0" xfId="0" applyNumberFormat="1"/>
    <xf numFmtId="0" fontId="29" fillId="6" borderId="1" xfId="0" applyFont="1" applyFill="1" applyBorder="1" applyAlignment="1">
      <alignment horizontal="center" vertical="center"/>
    </xf>
    <xf numFmtId="0" fontId="0" fillId="3" borderId="0" xfId="0" applyFill="1" applyBorder="1" applyAlignment="1">
      <alignment horizontal="left" vertical="center" wrapText="1"/>
    </xf>
    <xf numFmtId="0" fontId="13" fillId="3" borderId="0" xfId="0" applyFont="1" applyFill="1" applyBorder="1" applyAlignment="1">
      <alignment horizontal="center" vertical="center" wrapText="1"/>
    </xf>
    <xf numFmtId="49" fontId="13" fillId="3" borderId="0" xfId="0" applyNumberFormat="1" applyFont="1" applyFill="1" applyBorder="1" applyAlignment="1">
      <alignment horizontal="center" vertical="center"/>
    </xf>
    <xf numFmtId="164" fontId="28" fillId="5" borderId="7" xfId="0" applyNumberFormat="1" applyFont="1" applyFill="1" applyBorder="1" applyAlignment="1">
      <alignment horizontal="center" vertical="center" wrapText="1"/>
    </xf>
    <xf numFmtId="0" fontId="1" fillId="0" borderId="36" xfId="0" applyFont="1" applyBorder="1" applyAlignment="1">
      <alignment horizontal="center" vertical="center" wrapText="1"/>
    </xf>
    <xf numFmtId="49" fontId="1" fillId="0" borderId="35" xfId="0" applyNumberFormat="1" applyFont="1" applyBorder="1" applyAlignment="1">
      <alignment horizontal="center" vertical="center"/>
    </xf>
    <xf numFmtId="164" fontId="25" fillId="4" borderId="38" xfId="0" applyNumberFormat="1" applyFont="1" applyFill="1" applyBorder="1" applyAlignment="1">
      <alignment horizontal="center" vertical="center" wrapText="1"/>
    </xf>
    <xf numFmtId="0" fontId="25" fillId="4" borderId="37" xfId="0" applyFont="1" applyFill="1" applyBorder="1" applyAlignment="1">
      <alignment horizontal="center"/>
    </xf>
    <xf numFmtId="0" fontId="13" fillId="0" borderId="40" xfId="0" applyFont="1" applyBorder="1" applyAlignment="1">
      <alignment horizontal="center" vertical="center" wrapText="1"/>
    </xf>
    <xf numFmtId="49" fontId="13" fillId="0" borderId="39" xfId="0" applyNumberFormat="1" applyFont="1" applyBorder="1" applyAlignment="1">
      <alignment horizontal="center" vertical="center"/>
    </xf>
    <xf numFmtId="0" fontId="2" fillId="8" borderId="33" xfId="0" applyFont="1" applyFill="1" applyBorder="1" applyAlignment="1">
      <alignment horizontal="left" vertical="center" wrapText="1"/>
    </xf>
    <xf numFmtId="0" fontId="0" fillId="0" borderId="0" xfId="0" applyAlignment="1"/>
    <xf numFmtId="0" fontId="1" fillId="3" borderId="0" xfId="0" applyFont="1" applyFill="1" applyAlignment="1"/>
    <xf numFmtId="0" fontId="0" fillId="0" borderId="0" xfId="0" applyFill="1" applyAlignment="1"/>
    <xf numFmtId="0" fontId="1" fillId="0" borderId="0" xfId="0" applyFont="1" applyFill="1" applyAlignment="1"/>
    <xf numFmtId="0" fontId="0" fillId="0" borderId="0" xfId="0" applyFont="1" applyFill="1" applyAlignment="1">
      <alignment horizontal="right" vertical="center"/>
    </xf>
    <xf numFmtId="0" fontId="0" fillId="0" borderId="0" xfId="0" applyFont="1" applyFill="1" applyAlignment="1">
      <alignment horizontal="right" wrapText="1"/>
    </xf>
    <xf numFmtId="0" fontId="2" fillId="8" borderId="33" xfId="0" applyFont="1" applyFill="1" applyBorder="1" applyAlignment="1">
      <alignment horizontal="left" vertical="center" wrapText="1"/>
    </xf>
    <xf numFmtId="0" fontId="0" fillId="0" borderId="0" xfId="0" applyAlignment="1"/>
    <xf numFmtId="0" fontId="1" fillId="3" borderId="0" xfId="0" applyFont="1" applyFill="1" applyAlignment="1"/>
    <xf numFmtId="167" fontId="0" fillId="0" borderId="0" xfId="0" applyNumberFormat="1"/>
    <xf numFmtId="0" fontId="31" fillId="6" borderId="1" xfId="0" applyFont="1" applyFill="1" applyBorder="1" applyAlignment="1">
      <alignment horizontal="center" vertical="center" wrapText="1"/>
    </xf>
    <xf numFmtId="0" fontId="32" fillId="6" borderId="6" xfId="0" applyFont="1" applyFill="1" applyBorder="1" applyAlignment="1">
      <alignment horizontal="left" vertical="top" wrapText="1"/>
    </xf>
    <xf numFmtId="0" fontId="32" fillId="6" borderId="6" xfId="0" applyFont="1" applyFill="1" applyBorder="1" applyAlignment="1">
      <alignment horizontal="left" vertical="center" wrapText="1"/>
    </xf>
    <xf numFmtId="0" fontId="32" fillId="6" borderId="1" xfId="0" applyFont="1" applyFill="1" applyBorder="1" applyAlignment="1">
      <alignment horizontal="center" vertical="center"/>
    </xf>
    <xf numFmtId="0" fontId="0" fillId="0" borderId="41" xfId="0" applyBorder="1"/>
    <xf numFmtId="0" fontId="0" fillId="0" borderId="42"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7" xfId="0" applyBorder="1"/>
    <xf numFmtId="0" fontId="0" fillId="0" borderId="48" xfId="0" applyBorder="1"/>
    <xf numFmtId="0" fontId="0" fillId="0" borderId="49" xfId="0" applyBorder="1"/>
    <xf numFmtId="166" fontId="1" fillId="0" borderId="0" xfId="0" applyNumberFormat="1" applyFont="1"/>
    <xf numFmtId="169" fontId="0" fillId="0" borderId="0" xfId="0" applyNumberFormat="1" applyAlignment="1">
      <alignment horizontal="right" vertical="center"/>
    </xf>
    <xf numFmtId="169" fontId="0" fillId="0" borderId="0" xfId="0" applyNumberFormat="1"/>
    <xf numFmtId="164" fontId="0" fillId="3" borderId="0" xfId="0" applyNumberFormat="1" applyFill="1"/>
    <xf numFmtId="0" fontId="33" fillId="6" borderId="32" xfId="0" applyFont="1" applyFill="1" applyBorder="1" applyAlignment="1">
      <alignment horizontal="center" vertical="center" wrapText="1"/>
    </xf>
    <xf numFmtId="0" fontId="0" fillId="0" borderId="29" xfId="0" applyBorder="1" applyAlignment="1">
      <alignment horizontal="center"/>
    </xf>
    <xf numFmtId="0" fontId="0" fillId="0" borderId="31" xfId="0" applyBorder="1" applyAlignment="1">
      <alignment horizontal="center"/>
    </xf>
    <xf numFmtId="0" fontId="1" fillId="0" borderId="30" xfId="0" applyFont="1" applyBorder="1" applyAlignment="1">
      <alignment horizontal="center" vertical="center" wrapText="1"/>
    </xf>
    <xf numFmtId="0" fontId="0" fillId="0" borderId="29" xfId="0" applyBorder="1" applyAlignment="1">
      <alignment vertical="center" wrapText="1"/>
    </xf>
    <xf numFmtId="0" fontId="0" fillId="0" borderId="31" xfId="0" applyBorder="1" applyAlignment="1">
      <alignment vertical="center" wrapText="1"/>
    </xf>
    <xf numFmtId="0" fontId="31" fillId="6" borderId="32" xfId="0" applyFont="1" applyFill="1" applyBorder="1" applyAlignment="1">
      <alignment horizontal="center" vertical="center" wrapText="1"/>
    </xf>
    <xf numFmtId="0" fontId="30" fillId="0" borderId="29" xfId="0" applyFont="1" applyBorder="1" applyAlignment="1">
      <alignment horizontal="center" vertical="center" wrapText="1"/>
    </xf>
    <xf numFmtId="0" fontId="30" fillId="0" borderId="31" xfId="0" applyFont="1" applyBorder="1" applyAlignment="1">
      <alignment horizontal="center" vertical="center" wrapText="1"/>
    </xf>
    <xf numFmtId="0" fontId="2" fillId="8" borderId="33" xfId="0" applyFont="1" applyFill="1" applyBorder="1" applyAlignment="1">
      <alignment horizontal="left" vertical="center" wrapText="1"/>
    </xf>
    <xf numFmtId="0" fontId="26" fillId="0" borderId="26" xfId="0" applyFont="1" applyBorder="1" applyAlignment="1">
      <alignment horizontal="left" vertical="center" wrapText="1"/>
    </xf>
    <xf numFmtId="0" fontId="13" fillId="0" borderId="30" xfId="0" applyFont="1" applyBorder="1" applyAlignment="1">
      <alignment horizontal="center" vertical="center"/>
    </xf>
    <xf numFmtId="0" fontId="0" fillId="0" borderId="29" xfId="0" applyBorder="1" applyAlignment="1">
      <alignment vertical="center"/>
    </xf>
    <xf numFmtId="0" fontId="0" fillId="0" borderId="31" xfId="0" applyBorder="1" applyAlignment="1">
      <alignment vertical="center"/>
    </xf>
    <xf numFmtId="0" fontId="22" fillId="0" borderId="30" xfId="0" applyFont="1" applyBorder="1" applyAlignment="1">
      <alignment horizontal="center" vertical="center"/>
    </xf>
    <xf numFmtId="0" fontId="26" fillId="0" borderId="29" xfId="0" applyFont="1" applyBorder="1" applyAlignment="1">
      <alignment vertical="center"/>
    </xf>
    <xf numFmtId="0" fontId="26" fillId="0" borderId="31" xfId="0" applyFont="1" applyBorder="1" applyAlignment="1">
      <alignment vertical="center"/>
    </xf>
    <xf numFmtId="0" fontId="1" fillId="0" borderId="30" xfId="0" applyFont="1" applyBorder="1" applyAlignment="1">
      <alignment horizontal="center" vertical="center"/>
    </xf>
    <xf numFmtId="0" fontId="0" fillId="0" borderId="29" xfId="0" applyFont="1" applyBorder="1" applyAlignment="1">
      <alignment vertical="center"/>
    </xf>
    <xf numFmtId="0" fontId="0" fillId="0" borderId="31" xfId="0" applyFont="1" applyBorder="1" applyAlignment="1">
      <alignment vertical="center"/>
    </xf>
    <xf numFmtId="0" fontId="1" fillId="0" borderId="29" xfId="0" applyFont="1" applyBorder="1" applyAlignment="1">
      <alignment horizontal="center" vertical="center"/>
    </xf>
    <xf numFmtId="0" fontId="32" fillId="6" borderId="1" xfId="0" applyFont="1" applyFill="1" applyBorder="1" applyAlignment="1">
      <alignment horizontal="center" wrapText="1"/>
    </xf>
    <xf numFmtId="3" fontId="28" fillId="5" borderId="34" xfId="0" applyNumberFormat="1" applyFont="1" applyFill="1" applyBorder="1" applyAlignment="1">
      <alignment horizontal="center" vertical="center" wrapText="1"/>
    </xf>
    <xf numFmtId="3" fontId="27" fillId="5" borderId="31" xfId="0" applyNumberFormat="1" applyFont="1" applyFill="1" applyBorder="1" applyAlignment="1">
      <alignment horizontal="center" vertical="center" wrapText="1"/>
    </xf>
    <xf numFmtId="3" fontId="28" fillId="5" borderId="31" xfId="0" applyNumberFormat="1" applyFont="1" applyFill="1" applyBorder="1" applyAlignment="1">
      <alignment horizontal="center" vertical="center" wrapText="1"/>
    </xf>
    <xf numFmtId="0" fontId="23" fillId="6" borderId="32" xfId="0" applyFont="1" applyFill="1" applyBorder="1" applyAlignment="1">
      <alignment horizontal="center" vertical="center" wrapText="1"/>
    </xf>
    <xf numFmtId="0" fontId="24" fillId="6" borderId="29" xfId="0" applyFont="1" applyFill="1" applyBorder="1" applyAlignment="1">
      <alignment wrapText="1"/>
    </xf>
    <xf numFmtId="0" fontId="24" fillId="6" borderId="31" xfId="0" applyFont="1" applyFill="1" applyBorder="1" applyAlignment="1">
      <alignment wrapText="1"/>
    </xf>
    <xf numFmtId="0" fontId="27" fillId="0" borderId="29" xfId="0" applyFont="1" applyBorder="1" applyAlignment="1">
      <alignment vertical="center"/>
    </xf>
    <xf numFmtId="0" fontId="27" fillId="0" borderId="31" xfId="0" applyFont="1" applyBorder="1" applyAlignment="1">
      <alignment vertical="center"/>
    </xf>
    <xf numFmtId="0" fontId="2" fillId="8" borderId="11" xfId="0" applyFont="1" applyFill="1" applyBorder="1" applyAlignment="1">
      <alignment horizontal="left" vertical="center" wrapText="1"/>
    </xf>
    <xf numFmtId="0" fontId="0" fillId="0" borderId="16" xfId="0" applyBorder="1" applyAlignment="1">
      <alignment horizontal="left" vertical="center" wrapText="1"/>
    </xf>
    <xf numFmtId="0" fontId="29" fillId="6" borderId="1" xfId="0" applyFont="1" applyFill="1" applyBorder="1" applyAlignment="1">
      <alignment horizontal="center" wrapText="1"/>
    </xf>
    <xf numFmtId="3" fontId="0" fillId="0" borderId="31" xfId="0" applyNumberFormat="1" applyBorder="1" applyAlignment="1">
      <alignment horizontal="center" vertical="center" wrapText="1"/>
    </xf>
    <xf numFmtId="0" fontId="12" fillId="6" borderId="32" xfId="0" applyFont="1" applyFill="1" applyBorder="1" applyAlignment="1">
      <alignment horizontal="center" vertical="center" wrapText="1"/>
    </xf>
    <xf numFmtId="0" fontId="0" fillId="0" borderId="29" xfId="0" applyBorder="1" applyAlignment="1">
      <alignment horizontal="center" vertical="center" wrapText="1"/>
    </xf>
    <xf numFmtId="0" fontId="0" fillId="0" borderId="31" xfId="0" applyBorder="1" applyAlignment="1">
      <alignment horizontal="center" vertical="center" wrapText="1"/>
    </xf>
    <xf numFmtId="0" fontId="13" fillId="0" borderId="30" xfId="0" applyFont="1" applyBorder="1" applyAlignment="1">
      <alignment horizontal="center" vertical="center" wrapText="1"/>
    </xf>
    <xf numFmtId="0" fontId="27" fillId="0" borderId="29" xfId="0" applyFont="1" applyBorder="1" applyAlignment="1">
      <alignment vertical="center" wrapText="1"/>
    </xf>
    <xf numFmtId="0" fontId="27" fillId="0" borderId="31" xfId="0" applyFont="1" applyBorder="1" applyAlignment="1">
      <alignment vertical="center" wrapText="1"/>
    </xf>
    <xf numFmtId="0" fontId="1" fillId="3" borderId="0" xfId="0" applyFont="1" applyFill="1" applyAlignment="1">
      <alignment horizontal="center" vertical="center" wrapText="1"/>
    </xf>
    <xf numFmtId="0" fontId="0" fillId="0" borderId="0" xfId="0" applyAlignment="1">
      <alignment horizontal="center" vertical="center" wrapText="1"/>
    </xf>
    <xf numFmtId="0" fontId="12" fillId="6" borderId="0" xfId="0" applyFont="1" applyFill="1" applyAlignment="1">
      <alignment horizontal="center" vertical="center" wrapText="1"/>
    </xf>
    <xf numFmtId="0" fontId="12" fillId="6" borderId="0" xfId="0" applyFont="1" applyFill="1" applyAlignment="1"/>
    <xf numFmtId="0" fontId="0" fillId="0" borderId="0" xfId="0" applyAlignment="1"/>
    <xf numFmtId="0" fontId="1" fillId="3" borderId="0" xfId="0" applyFont="1" applyFill="1" applyAlignment="1"/>
    <xf numFmtId="0" fontId="1" fillId="0" borderId="0" xfId="0" applyFont="1" applyAlignment="1">
      <alignment wrapText="1"/>
    </xf>
    <xf numFmtId="0" fontId="0" fillId="0" borderId="0" xfId="0" applyAlignment="1">
      <alignment wrapText="1"/>
    </xf>
    <xf numFmtId="0" fontId="1" fillId="0" borderId="0" xfId="0" applyFont="1" applyAlignment="1"/>
    <xf numFmtId="0" fontId="1" fillId="3" borderId="0" xfId="0" applyFont="1" applyFill="1" applyAlignment="1">
      <alignment horizontal="center" wrapText="1"/>
    </xf>
    <xf numFmtId="0" fontId="15" fillId="6" borderId="0" xfId="0" applyFont="1" applyFill="1" applyAlignment="1">
      <alignment horizontal="center" vertical="center"/>
    </xf>
    <xf numFmtId="0" fontId="16" fillId="6" borderId="0" xfId="0" applyFont="1" applyFill="1" applyAlignment="1">
      <alignment horizontal="center"/>
    </xf>
    <xf numFmtId="0" fontId="16" fillId="6" borderId="0" xfId="0" applyFont="1" applyFill="1" applyAlignment="1"/>
    <xf numFmtId="0" fontId="20" fillId="3" borderId="0" xfId="0" applyFont="1" applyFill="1" applyAlignment="1">
      <alignment horizontal="center" vertical="center"/>
    </xf>
    <xf numFmtId="0" fontId="19" fillId="0" borderId="0" xfId="0" applyFont="1" applyAlignment="1">
      <alignment horizontal="center"/>
    </xf>
    <xf numFmtId="0" fontId="0" fillId="0" borderId="0" xfId="0" applyAlignment="1">
      <alignment horizontal="center"/>
    </xf>
    <xf numFmtId="0" fontId="22" fillId="3" borderId="0" xfId="0" applyFont="1" applyFill="1" applyAlignment="1">
      <alignment horizontal="center" vertical="center" wrapText="1"/>
    </xf>
    <xf numFmtId="0" fontId="0" fillId="0" borderId="0" xfId="0" applyAlignment="1">
      <alignment horizontal="left" vertical="top" wrapText="1"/>
    </xf>
    <xf numFmtId="0" fontId="1" fillId="0" borderId="0" xfId="0" applyFont="1" applyAlignment="1">
      <alignment horizontal="center" vertical="center" wrapText="1"/>
    </xf>
    <xf numFmtId="0" fontId="1" fillId="0" borderId="0" xfId="0" applyFont="1" applyAlignment="1">
      <alignment horizontal="center" wrapText="1"/>
    </xf>
    <xf numFmtId="0" fontId="0" fillId="0" borderId="0" xfId="0" applyAlignment="1">
      <alignment horizontal="center" wrapText="1"/>
    </xf>
    <xf numFmtId="0" fontId="2" fillId="8" borderId="9" xfId="0" applyFont="1" applyFill="1" applyBorder="1" applyAlignment="1">
      <alignment vertical="center" wrapText="1"/>
    </xf>
    <xf numFmtId="0" fontId="0" fillId="0" borderId="10" xfId="0" applyBorder="1" applyAlignment="1">
      <alignment vertical="center"/>
    </xf>
    <xf numFmtId="0" fontId="12" fillId="6" borderId="1" xfId="0" applyFont="1" applyFill="1" applyBorder="1" applyAlignment="1">
      <alignment wrapText="1"/>
    </xf>
    <xf numFmtId="165" fontId="4" fillId="5" borderId="10" xfId="0" applyNumberFormat="1" applyFont="1" applyFill="1" applyBorder="1" applyAlignment="1">
      <alignment horizontal="center" vertical="center"/>
    </xf>
    <xf numFmtId="0" fontId="5" fillId="0" borderId="2" xfId="0" applyFont="1" applyBorder="1" applyAlignment="1"/>
    <xf numFmtId="0" fontId="8" fillId="2" borderId="10"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1" fillId="6" borderId="19" xfId="0" applyFont="1" applyFill="1" applyBorder="1" applyAlignment="1">
      <alignment wrapText="1"/>
    </xf>
    <xf numFmtId="0" fontId="11" fillId="6" borderId="20" xfId="0" applyFont="1" applyFill="1" applyBorder="1" applyAlignment="1">
      <alignment wrapText="1"/>
    </xf>
    <xf numFmtId="0" fontId="3" fillId="7" borderId="21" xfId="0" applyFont="1" applyFill="1" applyBorder="1" applyAlignment="1">
      <alignment horizontal="left" vertical="center" wrapText="1"/>
    </xf>
    <xf numFmtId="0" fontId="0" fillId="7" borderId="22" xfId="0" applyFill="1" applyBorder="1" applyAlignment="1">
      <alignment horizontal="left" vertical="center" wrapText="1"/>
    </xf>
    <xf numFmtId="0" fontId="0" fillId="7" borderId="23" xfId="0" applyFill="1" applyBorder="1" applyAlignment="1">
      <alignment horizontal="left" vertical="center" wrapText="1"/>
    </xf>
    <xf numFmtId="0" fontId="0" fillId="7" borderId="24" xfId="0" applyFill="1" applyBorder="1" applyAlignment="1">
      <alignment horizontal="left" vertical="center" wrapText="1"/>
    </xf>
    <xf numFmtId="0" fontId="0" fillId="7" borderId="0" xfId="0" applyFill="1" applyBorder="1" applyAlignment="1">
      <alignment horizontal="left" vertical="center" wrapText="1"/>
    </xf>
    <xf numFmtId="0" fontId="0" fillId="7" borderId="25" xfId="0" applyFill="1" applyBorder="1" applyAlignment="1">
      <alignment horizontal="left" vertical="center" wrapText="1"/>
    </xf>
    <xf numFmtId="0" fontId="0" fillId="7" borderId="26" xfId="0" applyFill="1" applyBorder="1" applyAlignment="1">
      <alignment horizontal="left" vertical="center" wrapText="1"/>
    </xf>
    <xf numFmtId="0" fontId="0" fillId="7" borderId="27" xfId="0" applyFill="1" applyBorder="1" applyAlignment="1">
      <alignment horizontal="left" vertical="center" wrapText="1"/>
    </xf>
    <xf numFmtId="0" fontId="0" fillId="7" borderId="28" xfId="0" applyFill="1" applyBorder="1" applyAlignment="1">
      <alignment horizontal="left" vertical="center" wrapText="1"/>
    </xf>
    <xf numFmtId="4" fontId="8" fillId="2" borderId="10" xfId="0" applyNumberFormat="1" applyFont="1" applyFill="1" applyBorder="1" applyAlignment="1">
      <alignment horizontal="center" vertical="center" wrapText="1"/>
    </xf>
    <xf numFmtId="4" fontId="9" fillId="0" borderId="2" xfId="0" applyNumberFormat="1" applyFont="1" applyBorder="1" applyAlignment="1"/>
    <xf numFmtId="0" fontId="8" fillId="2" borderId="7" xfId="0" applyFont="1" applyFill="1" applyBorder="1" applyAlignment="1">
      <alignment horizontal="center" vertical="center"/>
    </xf>
    <xf numFmtId="0" fontId="9" fillId="0" borderId="8" xfId="0" applyFont="1" applyBorder="1" applyAlignment="1"/>
    <xf numFmtId="0" fontId="8" fillId="2" borderId="15"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3" xfId="0" applyNumberFormat="1" applyFont="1" applyFill="1" applyBorder="1" applyAlignment="1">
      <alignment horizontal="center" vertical="center" wrapText="1"/>
    </xf>
    <xf numFmtId="0" fontId="8" fillId="2" borderId="4" xfId="0" applyNumberFormat="1" applyFont="1" applyFill="1" applyBorder="1" applyAlignment="1">
      <alignment horizontal="center" vertical="center" wrapText="1"/>
    </xf>
    <xf numFmtId="0" fontId="2" fillId="8" borderId="9" xfId="0" applyFont="1" applyFill="1" applyBorder="1" applyAlignment="1">
      <alignment horizontal="left" vertical="center" wrapText="1"/>
    </xf>
    <xf numFmtId="0" fontId="2" fillId="8" borderId="10" xfId="0" applyFont="1" applyFill="1" applyBorder="1" applyAlignment="1">
      <alignment horizontal="left" vertical="center" wrapText="1"/>
    </xf>
    <xf numFmtId="0" fontId="2" fillId="8" borderId="6" xfId="0" applyFont="1" applyFill="1" applyBorder="1" applyAlignment="1">
      <alignment horizontal="left" vertical="center" wrapText="1"/>
    </xf>
    <xf numFmtId="0" fontId="0" fillId="0" borderId="7" xfId="0" applyBorder="1" applyAlignment="1">
      <alignment vertical="center"/>
    </xf>
    <xf numFmtId="0" fontId="0" fillId="0" borderId="12"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cellXfs>
  <cellStyles count="2">
    <cellStyle name="Comma" xfId="1" builtinId="3"/>
    <cellStyle name="Normal" xfId="0" builtinId="0"/>
  </cellStyles>
  <dxfs count="19">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indexed="64"/>
        </left>
        <right style="thin">
          <color indexed="64"/>
        </right>
        <top/>
        <bottom/>
      </border>
    </dxf>
  </dxfs>
  <tableStyles count="0" defaultTableStyle="TableStyleMedium2" defaultPivotStyle="PivotStyleLight16"/>
  <colors>
    <mruColors>
      <color rgb="FF145386"/>
      <color rgb="FF00A94F"/>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id="1" name="Table1" displayName="Table1" ref="A1:O19" totalsRowShown="0" headerRowDxfId="18" headerRowBorderDxfId="17" tableBorderDxfId="16" totalsRowBorderDxfId="15">
  <autoFilter ref="A1:O19"/>
  <tableColumns count="15">
    <tableColumn id="1" name="Column1" dataDxfId="14"/>
    <tableColumn id="2" name="Column2" dataDxfId="13"/>
    <tableColumn id="3" name="Column3" dataDxfId="12"/>
    <tableColumn id="4" name="Column4" dataDxfId="11"/>
    <tableColumn id="5" name="Column5" dataDxfId="10"/>
    <tableColumn id="6" name="Column6" dataDxfId="9"/>
    <tableColumn id="7" name="Column7" dataDxfId="8"/>
    <tableColumn id="8" name="Column8" dataDxfId="7"/>
    <tableColumn id="9" name="Column9" dataDxfId="6"/>
    <tableColumn id="10" name="Column10" dataDxfId="5"/>
    <tableColumn id="11" name="Column11" dataDxfId="4"/>
    <tableColumn id="12" name="Column12" dataDxfId="3"/>
    <tableColumn id="13" name="Column13" dataDxfId="2"/>
    <tableColumn id="14" name="Column14" dataDxfId="1"/>
    <tableColumn id="15" name="Column15"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A94F"/>
  </sheetPr>
  <dimension ref="B1:G20"/>
  <sheetViews>
    <sheetView tabSelected="1" zoomScale="90" zoomScaleNormal="90" workbookViewId="0">
      <selection activeCell="D9" sqref="D9:F9"/>
    </sheetView>
  </sheetViews>
  <sheetFormatPr defaultColWidth="8.85546875" defaultRowHeight="15" x14ac:dyDescent="0.25"/>
  <cols>
    <col min="1" max="2" width="8.85546875" style="11"/>
    <col min="3" max="3" width="68.28515625" style="11" customWidth="1"/>
    <col min="4" max="5" width="14.140625" style="11" customWidth="1"/>
    <col min="6" max="6" width="13.42578125" style="11" customWidth="1"/>
    <col min="7" max="7" width="11" style="11" bestFit="1" customWidth="1"/>
    <col min="8" max="16384" width="8.85546875" style="11"/>
  </cols>
  <sheetData>
    <row r="1" spans="2:7" ht="5.45" customHeight="1" thickBot="1" x14ac:dyDescent="0.3"/>
    <row r="2" spans="2:7" ht="21" customHeight="1" thickBot="1" x14ac:dyDescent="0.3">
      <c r="B2" s="96" t="s">
        <v>189</v>
      </c>
      <c r="C2" s="97"/>
      <c r="D2" s="97"/>
      <c r="E2" s="97"/>
      <c r="F2" s="97"/>
      <c r="G2" s="98"/>
    </row>
    <row r="3" spans="2:7" ht="6" customHeight="1" thickBot="1" x14ac:dyDescent="0.3"/>
    <row r="4" spans="2:7" ht="18.600000000000001" customHeight="1" thickBot="1" x14ac:dyDescent="0.3">
      <c r="C4" s="79" t="s">
        <v>165</v>
      </c>
      <c r="D4" s="102" t="s">
        <v>166</v>
      </c>
      <c r="E4" s="103"/>
      <c r="F4" s="104"/>
    </row>
    <row r="5" spans="2:7" ht="37.15" customHeight="1" thickBot="1" x14ac:dyDescent="0.3">
      <c r="C5" s="46" t="s">
        <v>171</v>
      </c>
      <c r="D5" s="99" t="s">
        <v>60</v>
      </c>
      <c r="E5" s="100"/>
      <c r="F5" s="101"/>
    </row>
    <row r="6" spans="2:7" ht="35.450000000000003" customHeight="1" thickBot="1" x14ac:dyDescent="0.3">
      <c r="C6" s="46" t="s">
        <v>167</v>
      </c>
      <c r="D6" s="99" t="s">
        <v>86</v>
      </c>
      <c r="E6" s="100"/>
      <c r="F6" s="101"/>
    </row>
    <row r="7" spans="2:7" ht="16.5" thickBot="1" x14ac:dyDescent="0.3">
      <c r="C7" s="46" t="s">
        <v>174</v>
      </c>
      <c r="D7" s="99" t="s">
        <v>16</v>
      </c>
      <c r="E7" s="100"/>
      <c r="F7" s="101"/>
    </row>
    <row r="8" spans="2:7" ht="51.6" customHeight="1" thickBot="1" x14ac:dyDescent="0.3">
      <c r="C8" s="46" t="s">
        <v>168</v>
      </c>
      <c r="D8" s="99"/>
      <c r="E8" s="100"/>
      <c r="F8" s="101"/>
    </row>
    <row r="9" spans="2:7" ht="48" thickBot="1" x14ac:dyDescent="0.3">
      <c r="C9" s="46" t="s">
        <v>169</v>
      </c>
      <c r="D9" s="107"/>
      <c r="E9" s="108"/>
      <c r="F9" s="109"/>
    </row>
    <row r="10" spans="2:7" ht="32.25" thickBot="1" x14ac:dyDescent="0.3">
      <c r="C10" s="46" t="s">
        <v>170</v>
      </c>
      <c r="D10" s="110" t="s">
        <v>70</v>
      </c>
      <c r="E10" s="111"/>
      <c r="F10" s="112"/>
    </row>
    <row r="11" spans="2:7" ht="32.25" thickBot="1" x14ac:dyDescent="0.3">
      <c r="C11" s="46" t="s">
        <v>53</v>
      </c>
      <c r="D11" s="113">
        <v>36</v>
      </c>
      <c r="E11" s="114"/>
      <c r="F11" s="115"/>
    </row>
    <row r="12" spans="2:7" ht="48" thickBot="1" x14ac:dyDescent="0.3">
      <c r="C12" s="68" t="s">
        <v>186</v>
      </c>
      <c r="D12" s="116" t="s">
        <v>17</v>
      </c>
      <c r="E12" s="108"/>
      <c r="F12" s="109"/>
    </row>
    <row r="13" spans="2:7" x14ac:dyDescent="0.25">
      <c r="C13" s="105" t="s">
        <v>182</v>
      </c>
      <c r="D13" s="64" t="s">
        <v>0</v>
      </c>
      <c r="E13" s="64" t="s">
        <v>79</v>
      </c>
      <c r="F13" s="65" t="s">
        <v>1</v>
      </c>
    </row>
    <row r="14" spans="2:7" ht="34.9" customHeight="1" thickBot="1" x14ac:dyDescent="0.3">
      <c r="C14" s="106"/>
      <c r="D14" s="62" t="s">
        <v>14</v>
      </c>
      <c r="E14" s="62">
        <v>30</v>
      </c>
      <c r="F14" s="63">
        <v>2014</v>
      </c>
    </row>
    <row r="15" spans="2:7" ht="6" customHeight="1" thickBot="1" x14ac:dyDescent="0.3"/>
    <row r="16" spans="2:7" ht="21" customHeight="1" thickBot="1" x14ac:dyDescent="0.35">
      <c r="D16" s="82" t="s">
        <v>175</v>
      </c>
      <c r="E16" s="117" t="s">
        <v>213</v>
      </c>
      <c r="F16" s="117"/>
    </row>
    <row r="17" spans="3:7" ht="19.149999999999999" customHeight="1" thickBot="1" x14ac:dyDescent="0.3">
      <c r="C17" s="80" t="s">
        <v>176</v>
      </c>
      <c r="D17" s="61">
        <f>IF(OR(D5="",D6="",D7="",D10="",D11="",D14="",E14="",F14="",D12="",AND(D5="Level III Charge RN",D8=""),AND(D5="Public Health Nurse",D9="")),"",'Conv. Calc.(Save)'!AF3)</f>
        <v>50.037999999999997</v>
      </c>
      <c r="E17" s="118">
        <f>IF(OR(D17="",D17="ERROR",D17=" "),D17,(D17*D11*52))</f>
        <v>93671.135999999999</v>
      </c>
      <c r="F17" s="119"/>
      <c r="G17" s="95"/>
    </row>
    <row r="18" spans="3:7" ht="24" customHeight="1" thickBot="1" x14ac:dyDescent="0.3">
      <c r="C18" s="81" t="s">
        <v>193</v>
      </c>
      <c r="D18" s="61">
        <f ca="1">IF(OR(D5="",D6="",D7="",D11="",D14="",E14="",F14="",D12="",AND(D5="Level III Charge RN",D8=""),AND(D5="Public Health Nurse",D9="")),"",'Conv. Calc.(Save)'!AH3)</f>
        <v>53.601199999999999</v>
      </c>
      <c r="E18" s="118">
        <f ca="1">IF(OR(D18="",D18="ERROR",D18=" "),D18,(D18*D11*52))</f>
        <v>100341.4464</v>
      </c>
      <c r="F18" s="119"/>
    </row>
    <row r="19" spans="3:7" ht="20.45" customHeight="1" thickBot="1" x14ac:dyDescent="0.3">
      <c r="C19" s="81" t="s">
        <v>194</v>
      </c>
      <c r="D19" s="61">
        <f ca="1">IF(OR(D5="",D6="",D7="",D11="",D14="",E14="",F14="",D12="",AND(D5="Level III Charge RN",D8=""),AND(D5="Public Health Nurse",D9="")),"",'Conv. Calc.(Save)'!AI3)</f>
        <v>57.415908000000002</v>
      </c>
      <c r="E19" s="118">
        <f ca="1">IF(OR(D19="",D19="ERROR",D19=" "),D19,(D19*D11*52))</f>
        <v>107482.579776</v>
      </c>
      <c r="F19" s="120"/>
    </row>
    <row r="20" spans="3:7" ht="25.15" customHeight="1" thickBot="1" x14ac:dyDescent="0.3">
      <c r="C20" s="81" t="s">
        <v>195</v>
      </c>
      <c r="D20" s="61">
        <f ca="1">IF(OR(D5="",D6="",D7="",D11="",D14="",E14="",F14="",D12="",AND(D5="Level III Charge RN",D8=""),AND(D5="Public Health Nurse",D9="")),"",'Conv. Calc.(Save)'!AJ3)</f>
        <v>61.802262704000007</v>
      </c>
      <c r="E20" s="118">
        <f ca="1">IF(OR(D20="",D20="ERROR",D20=" "),D20,(D20*D11*52))</f>
        <v>115693.83578188802</v>
      </c>
      <c r="F20" s="119"/>
    </row>
  </sheetData>
  <mergeCells count="16">
    <mergeCell ref="E16:F16"/>
    <mergeCell ref="E17:F17"/>
    <mergeCell ref="E18:F18"/>
    <mergeCell ref="E19:F19"/>
    <mergeCell ref="E20:F20"/>
    <mergeCell ref="B2:G2"/>
    <mergeCell ref="D7:F7"/>
    <mergeCell ref="D4:F4"/>
    <mergeCell ref="C13:C14"/>
    <mergeCell ref="D5:F5"/>
    <mergeCell ref="D6:F6"/>
    <mergeCell ref="D8:F8"/>
    <mergeCell ref="D9:F9"/>
    <mergeCell ref="D10:F10"/>
    <mergeCell ref="D11:F11"/>
    <mergeCell ref="D12:F12"/>
  </mergeCells>
  <dataValidations count="1">
    <dataValidation type="decimal" allowBlank="1" showInputMessage="1" showErrorMessage="1" sqref="D11">
      <formula1>0</formula1>
      <formula2>120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14:formula1>
            <xm:f>'Conv. Calc.(Save)'!$B$3:$B$9</xm:f>
          </x14:formula1>
          <xm:sqref>D5</xm:sqref>
        </x14:dataValidation>
        <x14:dataValidation type="list" allowBlank="1" showInputMessage="1" showErrorMessage="1">
          <x14:formula1>
            <xm:f>'Conv. Calc.(Save)'!$E$3:$E$6</xm:f>
          </x14:formula1>
          <xm:sqref>D8</xm:sqref>
        </x14:dataValidation>
        <x14:dataValidation type="list" allowBlank="1" showInputMessage="1" showErrorMessage="1">
          <x14:formula1>
            <xm:f>'Conv. Calc.(Save)'!$G$3:$G$5</xm:f>
          </x14:formula1>
          <xm:sqref>D9</xm:sqref>
        </x14:dataValidation>
        <x14:dataValidation type="list" allowBlank="1" showInputMessage="1" showErrorMessage="1">
          <x14:formula1>
            <xm:f>'Conv. Calc.(Save)'!$D$3:$D$6</xm:f>
          </x14:formula1>
          <xm:sqref>D6</xm:sqref>
        </x14:dataValidation>
        <x14:dataValidation type="list" allowBlank="1" showInputMessage="1" showErrorMessage="1">
          <x14:formula1>
            <xm:f>'Conv. Calc.(Save)'!$I$3:$I$15</xm:f>
          </x14:formula1>
          <xm:sqref>D14</xm:sqref>
        </x14:dataValidation>
        <x14:dataValidation type="list" allowBlank="1" showInputMessage="1" showErrorMessage="1">
          <x14:formula1>
            <xm:f>'Conv. Calc.(Save)'!$H$3:$H$16</xm:f>
          </x14:formula1>
          <xm:sqref>D10</xm:sqref>
        </x14:dataValidation>
        <x14:dataValidation type="list" allowBlank="1" showInputMessage="1" showErrorMessage="1">
          <x14:formula1>
            <xm:f>'Conv. Calc.(Save)'!$J$3:$J$34</xm:f>
          </x14:formula1>
          <xm:sqref>E14</xm:sqref>
        </x14:dataValidation>
        <x14:dataValidation type="list" allowBlank="1" showInputMessage="1" showErrorMessage="1">
          <x14:formula1>
            <xm:f>'Conv. Calc.(Save)'!$C$3:$C$5</xm:f>
          </x14:formula1>
          <xm:sqref>D7:F7</xm:sqref>
        </x14:dataValidation>
        <x14:dataValidation type="list" allowBlank="1" showInputMessage="1" showErrorMessage="1">
          <x14:formula1>
            <xm:f>'Conv. Calc.(Save)'!$L$3:$L$5</xm:f>
          </x14:formula1>
          <xm:sqref>D12:F12</xm:sqref>
        </x14:dataValidation>
        <x14:dataValidation type="list" errorStyle="warning" allowBlank="1" showInputMessage="1" showErrorMessage="1">
          <x14:formula1>
            <xm:f>'Conv. Calc.(Save)'!$K$3:$K$19</xm:f>
          </x14:formula1>
          <xm:sqref>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sheetPr>
  <dimension ref="B1:E18"/>
  <sheetViews>
    <sheetView workbookViewId="0">
      <selection activeCell="D14" sqref="D14:E14"/>
    </sheetView>
  </sheetViews>
  <sheetFormatPr defaultColWidth="8.85546875" defaultRowHeight="15" x14ac:dyDescent="0.25"/>
  <cols>
    <col min="1" max="1" width="8.85546875" style="11"/>
    <col min="2" max="2" width="66.5703125" style="11" customWidth="1"/>
    <col min="3" max="4" width="14.140625" style="11" customWidth="1"/>
    <col min="5" max="5" width="13.7109375" style="11" customWidth="1"/>
    <col min="6" max="16384" width="8.85546875" style="11"/>
  </cols>
  <sheetData>
    <row r="1" spans="2:5" ht="15.75" thickBot="1" x14ac:dyDescent="0.3"/>
    <row r="2" spans="2:5" ht="24" thickBot="1" x14ac:dyDescent="0.4">
      <c r="B2" s="121" t="s">
        <v>196</v>
      </c>
      <c r="C2" s="122"/>
      <c r="D2" s="122"/>
      <c r="E2" s="123"/>
    </row>
    <row r="3" spans="2:5" ht="15.75" thickBot="1" x14ac:dyDescent="0.3"/>
    <row r="4" spans="2:5" ht="18.600000000000001" customHeight="1" thickBot="1" x14ac:dyDescent="0.3">
      <c r="B4" s="22" t="s">
        <v>52</v>
      </c>
      <c r="C4" s="130" t="s">
        <v>51</v>
      </c>
      <c r="D4" s="131"/>
      <c r="E4" s="132"/>
    </row>
    <row r="5" spans="2:5" ht="32.25" thickBot="1" x14ac:dyDescent="0.3">
      <c r="B5" s="46" t="s">
        <v>187</v>
      </c>
      <c r="C5" s="133"/>
      <c r="D5" s="134"/>
      <c r="E5" s="135"/>
    </row>
    <row r="6" spans="2:5" ht="48" thickBot="1" x14ac:dyDescent="0.3">
      <c r="B6" s="46" t="s">
        <v>188</v>
      </c>
      <c r="C6" s="133"/>
      <c r="D6" s="134"/>
      <c r="E6" s="135"/>
    </row>
    <row r="7" spans="2:5" ht="32.25" thickBot="1" x14ac:dyDescent="0.3">
      <c r="B7" s="46" t="s">
        <v>170</v>
      </c>
      <c r="C7" s="107"/>
      <c r="D7" s="124"/>
      <c r="E7" s="125"/>
    </row>
    <row r="8" spans="2:5" ht="32.25" thickBot="1" x14ac:dyDescent="0.3">
      <c r="B8" s="46" t="s">
        <v>53</v>
      </c>
      <c r="C8" s="107"/>
      <c r="D8" s="124"/>
      <c r="E8" s="125"/>
    </row>
    <row r="9" spans="2:5" ht="19.5" thickBot="1" x14ac:dyDescent="0.3">
      <c r="B9" s="47" t="s">
        <v>174</v>
      </c>
      <c r="C9" s="107"/>
      <c r="D9" s="108"/>
      <c r="E9" s="109"/>
    </row>
    <row r="10" spans="2:5" ht="48" thickBot="1" x14ac:dyDescent="0.3">
      <c r="B10" s="75" t="s">
        <v>186</v>
      </c>
      <c r="C10" s="107"/>
      <c r="D10" s="108"/>
      <c r="E10" s="109"/>
    </row>
    <row r="11" spans="2:5" ht="17.25" x14ac:dyDescent="0.3">
      <c r="B11" s="126" t="s">
        <v>185</v>
      </c>
      <c r="C11" s="17" t="s">
        <v>0</v>
      </c>
      <c r="D11" s="17" t="s">
        <v>79</v>
      </c>
      <c r="E11" s="15" t="s">
        <v>1</v>
      </c>
    </row>
    <row r="12" spans="2:5" ht="39" customHeight="1" thickBot="1" x14ac:dyDescent="0.3">
      <c r="B12" s="127"/>
      <c r="C12" s="66"/>
      <c r="D12" s="66"/>
      <c r="E12" s="67"/>
    </row>
    <row r="13" spans="2:5" ht="12" customHeight="1" thickBot="1" x14ac:dyDescent="0.3">
      <c r="B13" s="58"/>
      <c r="C13" s="59"/>
      <c r="D13" s="59"/>
      <c r="E13" s="60"/>
    </row>
    <row r="14" spans="2:5" ht="18" thickBot="1" x14ac:dyDescent="0.35">
      <c r="C14" s="57" t="s">
        <v>175</v>
      </c>
      <c r="D14" s="128" t="s">
        <v>213</v>
      </c>
      <c r="E14" s="128"/>
    </row>
    <row r="15" spans="2:5" ht="20.45" customHeight="1" thickBot="1" x14ac:dyDescent="0.3">
      <c r="B15" s="53" t="s">
        <v>177</v>
      </c>
      <c r="C15" s="61" t="str">
        <f>'UNAC Calc.(Save)'!AC3</f>
        <v/>
      </c>
      <c r="D15" s="118" t="str">
        <f>IF(OR(C15="",C15="ERROR"),C15,(C15*C8*52))</f>
        <v/>
      </c>
      <c r="E15" s="129"/>
    </row>
    <row r="16" spans="2:5" ht="25.15" customHeight="1" thickBot="1" x14ac:dyDescent="0.3">
      <c r="B16" s="54" t="s">
        <v>193</v>
      </c>
      <c r="C16" s="61" t="str">
        <f>'UNAC Calc.(Save)'!AE3</f>
        <v/>
      </c>
      <c r="D16" s="118" t="str">
        <f>IF(OR(C16="",C16="ERROR"),C16,(C16*C8*52))</f>
        <v/>
      </c>
      <c r="E16" s="129"/>
    </row>
    <row r="17" spans="2:5" ht="21.6" customHeight="1" thickBot="1" x14ac:dyDescent="0.3">
      <c r="B17" s="54" t="s">
        <v>194</v>
      </c>
      <c r="C17" s="61" t="str">
        <f>'UNAC Calc.(Save)'!AF3</f>
        <v/>
      </c>
      <c r="D17" s="118" t="str">
        <f>IF(OR(C17="",C17="ERROR"),C17,(C17*C8*52))</f>
        <v/>
      </c>
      <c r="E17" s="129"/>
    </row>
    <row r="18" spans="2:5" ht="24.6" customHeight="1" thickBot="1" x14ac:dyDescent="0.3">
      <c r="B18" s="54" t="s">
        <v>195</v>
      </c>
      <c r="C18" s="61" t="str">
        <f>'UNAC Calc.(Save)'!AG3</f>
        <v/>
      </c>
      <c r="D18" s="118" t="str">
        <f>IF(OR(C18="",C18="ERROR"),C18,(C18*C8*52))</f>
        <v/>
      </c>
      <c r="E18" s="129"/>
    </row>
  </sheetData>
  <mergeCells count="14">
    <mergeCell ref="D17:E17"/>
    <mergeCell ref="D18:E18"/>
    <mergeCell ref="D15:E15"/>
    <mergeCell ref="C4:E4"/>
    <mergeCell ref="C5:E5"/>
    <mergeCell ref="C6:E6"/>
    <mergeCell ref="C7:E7"/>
    <mergeCell ref="C9:E9"/>
    <mergeCell ref="C10:E10"/>
    <mergeCell ref="B2:E2"/>
    <mergeCell ref="C8:E8"/>
    <mergeCell ref="B11:B12"/>
    <mergeCell ref="D14:E14"/>
    <mergeCell ref="D16:E16"/>
  </mergeCells>
  <dataValidations count="1">
    <dataValidation type="decimal" allowBlank="1" showInputMessage="1" showErrorMessage="1" sqref="C8">
      <formula1>0</formula1>
      <formula2>120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'UNAC Calc.(Save)'!$F$3:$F$34</xm:f>
          </x14:formula1>
          <xm:sqref>D12:D13</xm:sqref>
        </x14:dataValidation>
        <x14:dataValidation type="list" allowBlank="1" showInputMessage="1" showErrorMessage="1">
          <x14:formula1>
            <xm:f>'UNAC Calc.(Save)'!$E$3:$E$15</xm:f>
          </x14:formula1>
          <xm:sqref>C12:C13</xm:sqref>
        </x14:dataValidation>
        <x14:dataValidation type="list" allowBlank="1" showInputMessage="1" showErrorMessage="1">
          <x14:formula1>
            <xm:f>'UNAC Calc.(Save)'!$B$3:$B$9</xm:f>
          </x14:formula1>
          <xm:sqref>C5:E5</xm:sqref>
        </x14:dataValidation>
        <x14:dataValidation type="list" allowBlank="1" showInputMessage="1" showErrorMessage="1">
          <x14:formula1>
            <xm:f>'UNAC Calc.(Save)'!$C$3:$C$6</xm:f>
          </x14:formula1>
          <xm:sqref>C6:E6</xm:sqref>
        </x14:dataValidation>
        <x14:dataValidation type="list" allowBlank="1" showInputMessage="1" showErrorMessage="1">
          <x14:formula1>
            <xm:f>'UNAC Calc.(Save)'!$D$3:$D$16</xm:f>
          </x14:formula1>
          <xm:sqref>C7:E7</xm:sqref>
        </x14:dataValidation>
        <x14:dataValidation type="list" allowBlank="1" showInputMessage="1" showErrorMessage="1">
          <x14:formula1>
            <xm:f>'UNAC Calc.(Save)'!$H$3:$H$5</xm:f>
          </x14:formula1>
          <xm:sqref>C9:E9</xm:sqref>
        </x14:dataValidation>
        <x14:dataValidation type="list" allowBlank="1" showInputMessage="1" showErrorMessage="1">
          <x14:formula1>
            <xm:f>'UNAC Calc.(Save)'!$I$3:$I$5</xm:f>
          </x14:formula1>
          <xm:sqref>C10:E10</xm:sqref>
        </x14:dataValidation>
        <x14:dataValidation type="list" errorStyle="warning" allowBlank="1" showInputMessage="1" showErrorMessage="1">
          <x14:formula1>
            <xm:f>'Conv. Calc.(Save)'!$K$3:$K$19</xm:f>
          </x14:formula1>
          <xm:sqref>E12:E13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R355"/>
  <sheetViews>
    <sheetView topLeftCell="V5" workbookViewId="0">
      <selection activeCell="AB24" sqref="AB24:AD28"/>
    </sheetView>
  </sheetViews>
  <sheetFormatPr defaultRowHeight="15" x14ac:dyDescent="0.25"/>
  <cols>
    <col min="2" max="2" width="54" style="21" bestFit="1" customWidth="1"/>
    <col min="3" max="3" width="6.7109375" style="21" customWidth="1"/>
    <col min="4" max="4" width="98.42578125" style="26" bestFit="1" customWidth="1"/>
    <col min="5" max="5" width="48.140625" bestFit="1" customWidth="1"/>
    <col min="6" max="6" width="5.85546875" bestFit="1" customWidth="1"/>
    <col min="7" max="7" width="28.5703125" bestFit="1" customWidth="1"/>
    <col min="8" max="8" width="33.7109375" bestFit="1" customWidth="1"/>
    <col min="9" max="9" width="9.7109375" bestFit="1" customWidth="1"/>
    <col min="14" max="14" width="22" bestFit="1" customWidth="1"/>
    <col min="29" max="29" width="17.7109375" bestFit="1" customWidth="1"/>
    <col min="30" max="30" width="19.7109375" bestFit="1" customWidth="1"/>
    <col min="31" max="31" width="41.28515625" bestFit="1" customWidth="1"/>
    <col min="32" max="32" width="38.7109375" style="40" bestFit="1" customWidth="1"/>
    <col min="33" max="33" width="17.85546875" bestFit="1" customWidth="1"/>
    <col min="34" max="34" width="53" bestFit="1" customWidth="1"/>
    <col min="35" max="36" width="52.7109375" bestFit="1" customWidth="1"/>
  </cols>
  <sheetData>
    <row r="1" spans="2:44" x14ac:dyDescent="0.25">
      <c r="I1" s="145" t="s">
        <v>80</v>
      </c>
      <c r="J1" s="145"/>
      <c r="K1" s="145"/>
    </row>
    <row r="2" spans="2:44" ht="27.6" customHeight="1" x14ac:dyDescent="0.35">
      <c r="B2" s="24" t="s">
        <v>59</v>
      </c>
      <c r="C2" s="24" t="s">
        <v>172</v>
      </c>
      <c r="D2" s="27" t="s">
        <v>65</v>
      </c>
      <c r="E2" s="24" t="s">
        <v>63</v>
      </c>
      <c r="F2" s="24"/>
      <c r="G2" s="25" t="s">
        <v>64</v>
      </c>
      <c r="H2" s="25" t="s">
        <v>66</v>
      </c>
      <c r="I2" s="24" t="s">
        <v>0</v>
      </c>
      <c r="J2" s="24" t="s">
        <v>81</v>
      </c>
      <c r="K2" s="24" t="s">
        <v>1</v>
      </c>
      <c r="L2" s="25" t="s">
        <v>179</v>
      </c>
      <c r="M2" s="149" t="s">
        <v>102</v>
      </c>
      <c r="N2" s="150"/>
      <c r="O2" s="150"/>
      <c r="P2" s="150"/>
      <c r="Q2" s="151"/>
      <c r="R2" s="151"/>
      <c r="S2" s="151"/>
      <c r="T2" s="151"/>
      <c r="U2" s="151"/>
      <c r="V2" s="151"/>
      <c r="W2" s="151"/>
      <c r="X2" s="151"/>
      <c r="Y2" s="151"/>
      <c r="Z2" s="151"/>
      <c r="AA2" s="151"/>
      <c r="AB2" s="11"/>
      <c r="AC2" s="11"/>
      <c r="AD2" s="24" t="s">
        <v>66</v>
      </c>
      <c r="AE2" s="32" t="s">
        <v>110</v>
      </c>
      <c r="AF2" s="24" t="s">
        <v>212</v>
      </c>
      <c r="AG2" s="136" t="s">
        <v>143</v>
      </c>
      <c r="AH2" s="137"/>
      <c r="AI2" s="24" t="s">
        <v>144</v>
      </c>
      <c r="AJ2" s="24" t="s">
        <v>145</v>
      </c>
      <c r="AK2" s="11"/>
      <c r="AL2" s="11"/>
      <c r="AM2" s="11"/>
      <c r="AN2" s="11"/>
      <c r="AO2" s="11"/>
      <c r="AP2" s="11"/>
      <c r="AQ2" s="11"/>
      <c r="AR2" s="11"/>
    </row>
    <row r="3" spans="2:44" ht="20.45" customHeight="1" x14ac:dyDescent="0.25">
      <c r="H3" t="s">
        <v>109</v>
      </c>
      <c r="M3" s="138" t="s">
        <v>111</v>
      </c>
      <c r="N3" s="137"/>
      <c r="O3" s="137"/>
      <c r="P3" s="137"/>
      <c r="Q3" s="137"/>
      <c r="R3" s="137"/>
      <c r="S3" s="137"/>
      <c r="T3" s="137"/>
      <c r="U3" s="137"/>
      <c r="V3" s="137"/>
      <c r="W3" s="137"/>
      <c r="X3" s="137"/>
      <c r="Y3" s="137"/>
      <c r="Z3" s="137"/>
      <c r="AA3" s="137"/>
      <c r="AB3" s="71"/>
      <c r="AC3" s="71"/>
      <c r="AD3" s="49"/>
      <c r="AE3" s="72"/>
      <c r="AF3" s="73">
        <f>IF(AND('NUHW to UNAC Conversion'!$D$6="PD",'NUHW to UNAC Conversion'!$D$12="Yes"),"Error",'Conv. Calc.(Save)'!AF4)</f>
        <v>50.037999999999997</v>
      </c>
      <c r="AG3" s="73"/>
      <c r="AH3" s="73">
        <f ca="1">IF(AND('NUHW to UNAC Conversion'!$D$6="PD",'NUHW to UNAC Conversion'!$D$12="Yes"),"Error",'Conv. Calc.(Save)'!AH4)</f>
        <v>53.601199999999999</v>
      </c>
      <c r="AI3" s="73">
        <f ca="1">IF(AND('NUHW to UNAC Conversion'!$D$6="PD",'NUHW to UNAC Conversion'!$D$12="Yes"),"Error",'Conv. Calc.(Save)'!AI4)</f>
        <v>57.415908000000002</v>
      </c>
      <c r="AJ3" s="73">
        <f ca="1">IF(AND('NUHW to UNAC Conversion'!$D$6="PD",'NUHW to UNAC Conversion'!$D$12="Yes"),"Error",'Conv. Calc.(Save)'!AJ4)</f>
        <v>61.802262704000007</v>
      </c>
      <c r="AK3" s="71"/>
      <c r="AL3" s="71"/>
      <c r="AM3" s="71"/>
      <c r="AN3" s="71"/>
    </row>
    <row r="4" spans="2:44" x14ac:dyDescent="0.25">
      <c r="B4" s="21" t="s">
        <v>90</v>
      </c>
      <c r="C4" s="21" t="s">
        <v>16</v>
      </c>
      <c r="D4" s="26" t="s">
        <v>86</v>
      </c>
      <c r="E4" t="str">
        <f>B5</f>
        <v>Level II Staff RN - Hospital</v>
      </c>
      <c r="G4" t="s">
        <v>16</v>
      </c>
      <c r="H4" t="s">
        <v>89</v>
      </c>
      <c r="I4" t="s">
        <v>4</v>
      </c>
      <c r="J4">
        <v>1</v>
      </c>
      <c r="K4">
        <v>2015</v>
      </c>
      <c r="L4" t="s">
        <v>16</v>
      </c>
      <c r="O4" s="29" t="s">
        <v>89</v>
      </c>
      <c r="P4" s="29" t="s">
        <v>67</v>
      </c>
      <c r="Q4" s="29" t="s">
        <v>68</v>
      </c>
      <c r="R4" s="29" t="s">
        <v>69</v>
      </c>
      <c r="S4" s="29" t="s">
        <v>70</v>
      </c>
      <c r="T4" s="29" t="s">
        <v>71</v>
      </c>
      <c r="U4" s="29" t="s">
        <v>72</v>
      </c>
      <c r="V4" s="29" t="s">
        <v>73</v>
      </c>
      <c r="W4" s="29" t="s">
        <v>74</v>
      </c>
      <c r="X4" s="29" t="s">
        <v>75</v>
      </c>
      <c r="Y4" s="29" t="s">
        <v>76</v>
      </c>
      <c r="Z4" s="29" t="s">
        <v>77</v>
      </c>
      <c r="AA4" s="29" t="s">
        <v>78</v>
      </c>
      <c r="AF4" s="40">
        <f>IF(AND('NUHW to UNAC Conversion'!$D$12="Yes",NOT(AF5="Error")),AF5*1.2,AF5)</f>
        <v>50.037999999999997</v>
      </c>
      <c r="AG4" s="40"/>
      <c r="AH4" s="40">
        <f ca="1">IF(AND('NUHW to UNAC Conversion'!$D$12="Yes",NOT(AH5="Error")),AH5*1.2,AH5)</f>
        <v>53.601199999999999</v>
      </c>
      <c r="AI4" s="40">
        <f ca="1">IF(AND('NUHW to UNAC Conversion'!$D$12="Yes",NOT(AI5="Error")),AI5*1.2,AI5)</f>
        <v>57.415908000000002</v>
      </c>
      <c r="AJ4" s="40">
        <f ca="1">IF(AND('NUHW to UNAC Conversion'!$D$12="Yes",NOT(AJ5="Error")),AJ5*1.2,AJ5)</f>
        <v>61.802262704000007</v>
      </c>
    </row>
    <row r="5" spans="2:44" x14ac:dyDescent="0.25">
      <c r="B5" s="21" t="s">
        <v>60</v>
      </c>
      <c r="C5" s="21" t="s">
        <v>17</v>
      </c>
      <c r="D5" s="26" t="s">
        <v>87</v>
      </c>
      <c r="E5" t="str">
        <f>B6</f>
        <v>Level II Step Down Unit RN</v>
      </c>
      <c r="G5" t="s">
        <v>17</v>
      </c>
      <c r="H5" t="s">
        <v>67</v>
      </c>
      <c r="I5" s="3" t="s">
        <v>55</v>
      </c>
      <c r="J5">
        <v>2</v>
      </c>
      <c r="K5">
        <v>2014</v>
      </c>
      <c r="L5" t="s">
        <v>17</v>
      </c>
      <c r="M5" s="5">
        <v>1</v>
      </c>
      <c r="N5" s="5" t="str">
        <f>E80</f>
        <v>Level II (Inexpd.) (FT/PT)</v>
      </c>
      <c r="O5" s="31">
        <v>39.645000000000003</v>
      </c>
      <c r="P5" s="31">
        <v>39.645000000000003</v>
      </c>
      <c r="Q5" s="31">
        <v>39.645000000000003</v>
      </c>
      <c r="R5" s="31">
        <v>39.645000000000003</v>
      </c>
      <c r="S5" s="31">
        <v>39.645000000000003</v>
      </c>
      <c r="T5" s="31">
        <v>39.645000000000003</v>
      </c>
      <c r="U5" s="31">
        <v>39.645000000000003</v>
      </c>
      <c r="V5" s="31">
        <v>39.645000000000003</v>
      </c>
      <c r="W5" s="31">
        <v>39.645000000000003</v>
      </c>
      <c r="X5" s="31">
        <v>39.645000000000003</v>
      </c>
      <c r="Y5" s="31">
        <v>39.645000000000003</v>
      </c>
      <c r="Z5" s="31">
        <v>39.645000000000003</v>
      </c>
      <c r="AA5" s="31">
        <v>39.645000000000003</v>
      </c>
      <c r="AD5" t="str">
        <f>'NUHW to UNAC Conversion'!D10</f>
        <v>3 Yr.</v>
      </c>
      <c r="AE5">
        <f>IF(AD5=" "," ",HLOOKUP(AD5,M4:AA21,G20+1,FALSE))</f>
        <v>50.037999999999997</v>
      </c>
      <c r="AF5" s="51">
        <f>IF(AD5=" "," ",AE5)</f>
        <v>50.037999999999997</v>
      </c>
      <c r="AG5" s="5" t="s">
        <v>146</v>
      </c>
      <c r="AH5">
        <f ca="1">IF(OR(AH7=" ",AH7="Error"),AH7,AH6)</f>
        <v>53.601199999999999</v>
      </c>
      <c r="AI5">
        <f ca="1">IF(OR(AI7=" ",AI7="Error"),AI7,AI6)</f>
        <v>57.415908000000002</v>
      </c>
      <c r="AJ5">
        <f ca="1">IF(OR(AJ7=" ",AJ7="Error"),AJ7,AJ6)</f>
        <v>61.802262704000007</v>
      </c>
    </row>
    <row r="6" spans="2:44" x14ac:dyDescent="0.25">
      <c r="B6" s="21" t="s">
        <v>61</v>
      </c>
      <c r="D6" s="26" t="s">
        <v>88</v>
      </c>
      <c r="E6" t="str">
        <f>B7</f>
        <v>Level III Spec Unit Staff RN - Hospital NICU -Transport RN</v>
      </c>
      <c r="H6" t="s">
        <v>68</v>
      </c>
      <c r="I6" s="3" t="s">
        <v>5</v>
      </c>
      <c r="J6">
        <v>3</v>
      </c>
      <c r="K6">
        <v>2013</v>
      </c>
      <c r="M6" s="5">
        <v>2</v>
      </c>
      <c r="N6" s="5" t="str">
        <f>E128</f>
        <v>Level II (FT/PT)</v>
      </c>
      <c r="O6" s="31">
        <v>39.645000000000003</v>
      </c>
      <c r="P6" s="31">
        <v>42.023000000000003</v>
      </c>
      <c r="Q6" s="31">
        <v>45.386000000000003</v>
      </c>
      <c r="R6" s="31">
        <v>47.655000000000001</v>
      </c>
      <c r="S6" s="31">
        <v>50.037999999999997</v>
      </c>
      <c r="T6" s="31">
        <v>52.04</v>
      </c>
      <c r="U6" s="31">
        <v>54.12</v>
      </c>
      <c r="V6" s="31">
        <v>56.014000000000003</v>
      </c>
      <c r="W6" s="31">
        <v>57.835999999999999</v>
      </c>
      <c r="X6" s="31">
        <v>59.715000000000003</v>
      </c>
      <c r="Y6" s="31">
        <v>61.267000000000003</v>
      </c>
      <c r="Z6" s="31">
        <v>62.798999999999999</v>
      </c>
      <c r="AA6" s="31">
        <v>64.369</v>
      </c>
      <c r="AG6" s="5" t="s">
        <v>147</v>
      </c>
      <c r="AH6">
        <f ca="1">IF('Conv. Calc.(Save)'!AD10=1,'Conv. Calc.(Save)'!AD16,'Conv. Calc.(Save)'!AF20)</f>
        <v>53.601199999999999</v>
      </c>
      <c r="AI6">
        <f ca="1">IF('Conv. Calc.(Save)'!AD10=1,'Conv. Calc.(Save)'!AD18,'Conv. Calc.(Save)'!AF23)</f>
        <v>57.415908000000002</v>
      </c>
      <c r="AJ6">
        <f ca="1">IF('Conv. Calc.(Save)'!AD10=1,'Conv. Calc.(Save)'!AD20,'Conv. Calc.(Save)'!AF26)</f>
        <v>61.802262704000007</v>
      </c>
    </row>
    <row r="7" spans="2:44" x14ac:dyDescent="0.25">
      <c r="B7" s="21" t="s">
        <v>178</v>
      </c>
      <c r="D7" s="26" t="s">
        <v>179</v>
      </c>
      <c r="H7" t="s">
        <v>69</v>
      </c>
      <c r="I7" s="3" t="s">
        <v>6</v>
      </c>
      <c r="J7">
        <v>4</v>
      </c>
      <c r="K7">
        <v>2012</v>
      </c>
      <c r="M7" s="5">
        <v>3</v>
      </c>
      <c r="N7" s="5" t="str">
        <f>E176</f>
        <v>Level III (FT/PT)</v>
      </c>
      <c r="O7" s="30">
        <v>41.232999999999997</v>
      </c>
      <c r="P7" s="30">
        <v>43.707000000000001</v>
      </c>
      <c r="Q7" s="30">
        <v>47.203000000000003</v>
      </c>
      <c r="R7" s="30">
        <v>49.564</v>
      </c>
      <c r="S7" s="30">
        <v>52.040999999999997</v>
      </c>
      <c r="T7" s="30">
        <v>54.122</v>
      </c>
      <c r="U7" s="30">
        <v>56.286999999999999</v>
      </c>
      <c r="V7" s="30">
        <v>58.256999999999998</v>
      </c>
      <c r="W7" s="30">
        <v>60.15</v>
      </c>
      <c r="X7" s="30">
        <v>62.106000000000002</v>
      </c>
      <c r="Y7" s="30">
        <v>63.720999999999997</v>
      </c>
      <c r="Z7" s="30">
        <v>65.313000000000002</v>
      </c>
      <c r="AA7" s="30">
        <v>66.947000000000003</v>
      </c>
      <c r="AG7" s="5" t="s">
        <v>148</v>
      </c>
      <c r="AH7">
        <f>'NUHW to UNAC Conversion'!D17</f>
        <v>50.037999999999997</v>
      </c>
      <c r="AI7">
        <f>AH7</f>
        <v>50.037999999999997</v>
      </c>
      <c r="AJ7">
        <f>AH7</f>
        <v>50.037999999999997</v>
      </c>
    </row>
    <row r="8" spans="2:44" ht="18.75" x14ac:dyDescent="0.3">
      <c r="B8" s="21" t="s">
        <v>136</v>
      </c>
      <c r="H8" t="s">
        <v>70</v>
      </c>
      <c r="I8" s="3" t="s">
        <v>7</v>
      </c>
      <c r="J8">
        <v>5</v>
      </c>
      <c r="K8">
        <v>2011</v>
      </c>
      <c r="M8" s="5">
        <v>4</v>
      </c>
      <c r="N8" s="5" t="str">
        <f>E275</f>
        <v>Level IV (FT/PT)</v>
      </c>
      <c r="O8" s="31" t="s">
        <v>91</v>
      </c>
      <c r="P8" s="30">
        <v>44.125</v>
      </c>
      <c r="Q8" s="30">
        <v>47.655000000000001</v>
      </c>
      <c r="R8" s="30">
        <v>50.037999999999997</v>
      </c>
      <c r="S8" s="30">
        <v>52.539000000000001</v>
      </c>
      <c r="T8" s="30">
        <v>54.64</v>
      </c>
      <c r="U8" s="30">
        <v>56.826999999999998</v>
      </c>
      <c r="V8" s="30">
        <v>58.814999999999998</v>
      </c>
      <c r="W8" s="30">
        <v>60.726999999999997</v>
      </c>
      <c r="X8" s="30">
        <v>62.7</v>
      </c>
      <c r="Y8" s="30">
        <v>64.331000000000003</v>
      </c>
      <c r="Z8" s="30">
        <v>65.94</v>
      </c>
      <c r="AA8" s="30">
        <v>67.588999999999999</v>
      </c>
      <c r="AB8" s="30"/>
      <c r="AC8" s="139" t="s">
        <v>114</v>
      </c>
      <c r="AD8" s="140"/>
      <c r="AE8" s="140"/>
      <c r="AF8" s="140"/>
      <c r="AG8" s="140"/>
      <c r="AH8" s="140"/>
      <c r="AI8" s="140"/>
      <c r="AJ8" s="140"/>
      <c r="AK8" s="140"/>
    </row>
    <row r="9" spans="2:44" x14ac:dyDescent="0.25">
      <c r="B9" s="21" t="s">
        <v>62</v>
      </c>
      <c r="H9" t="s">
        <v>71</v>
      </c>
      <c r="I9" s="3" t="s">
        <v>8</v>
      </c>
      <c r="J9">
        <v>6</v>
      </c>
      <c r="K9">
        <v>2010</v>
      </c>
      <c r="M9" s="5">
        <v>5</v>
      </c>
      <c r="N9" s="5" t="str">
        <f>E278</f>
        <v>Level V (FT/PT)</v>
      </c>
      <c r="O9" s="31" t="s">
        <v>91</v>
      </c>
      <c r="P9" s="30">
        <v>45.235999999999997</v>
      </c>
      <c r="Q9" s="30">
        <v>48.854999999999997</v>
      </c>
      <c r="R9" s="30">
        <v>51.296999999999997</v>
      </c>
      <c r="S9" s="30">
        <v>53.863</v>
      </c>
      <c r="T9" s="30">
        <v>56.018000000000001</v>
      </c>
      <c r="U9" s="30">
        <v>58.256999999999998</v>
      </c>
      <c r="V9" s="30">
        <v>60.295999999999999</v>
      </c>
      <c r="W9" s="30">
        <v>62.255000000000003</v>
      </c>
      <c r="X9" s="30">
        <v>64.28</v>
      </c>
      <c r="Y9" s="30">
        <v>65.950999999999993</v>
      </c>
      <c r="Z9" s="30">
        <v>67.599999999999994</v>
      </c>
      <c r="AA9" s="30">
        <v>69.289000000000001</v>
      </c>
    </row>
    <row r="10" spans="2:44" x14ac:dyDescent="0.25">
      <c r="H10" t="s">
        <v>72</v>
      </c>
      <c r="I10" s="3" t="s">
        <v>9</v>
      </c>
      <c r="J10">
        <v>7</v>
      </c>
      <c r="K10">
        <v>2009</v>
      </c>
      <c r="M10" s="5">
        <v>6</v>
      </c>
      <c r="N10" s="5" t="str">
        <f>E322</f>
        <v>PHN (FT/PT)</v>
      </c>
      <c r="O10" s="31" t="s">
        <v>91</v>
      </c>
      <c r="P10" s="30">
        <v>45.235999999999997</v>
      </c>
      <c r="Q10" s="30">
        <v>48.854999999999997</v>
      </c>
      <c r="R10" s="30">
        <v>51.296999999999997</v>
      </c>
      <c r="S10" s="30">
        <v>53.863</v>
      </c>
      <c r="T10" s="30">
        <v>56.018000000000001</v>
      </c>
      <c r="U10" s="30">
        <v>58.256999999999998</v>
      </c>
      <c r="V10" s="30">
        <v>60.295999999999999</v>
      </c>
      <c r="W10" s="30">
        <v>62.256</v>
      </c>
      <c r="X10" s="30">
        <v>64.28</v>
      </c>
      <c r="Y10" s="30">
        <v>65.950999999999993</v>
      </c>
      <c r="Z10" s="30">
        <v>67.599999999999994</v>
      </c>
      <c r="AA10" s="30">
        <v>69.289000000000001</v>
      </c>
      <c r="AC10" s="5" t="s">
        <v>115</v>
      </c>
      <c r="AD10">
        <f>IF('NUHW to UNAC Conversion'!D6="FT",1,2)</f>
        <v>1</v>
      </c>
    </row>
    <row r="11" spans="2:44" x14ac:dyDescent="0.25">
      <c r="H11" t="s">
        <v>73</v>
      </c>
      <c r="I11" s="3" t="s">
        <v>10</v>
      </c>
      <c r="J11">
        <v>8</v>
      </c>
      <c r="K11">
        <v>2008</v>
      </c>
      <c r="M11" s="5">
        <v>7</v>
      </c>
      <c r="N11" s="5" t="str">
        <f>E321</f>
        <v>Sr. PHN (FT/PT)</v>
      </c>
      <c r="O11" s="31" t="s">
        <v>91</v>
      </c>
      <c r="P11" s="30">
        <v>47.497</v>
      </c>
      <c r="Q11" s="30">
        <v>51.296999999999997</v>
      </c>
      <c r="R11" s="30">
        <v>53.863</v>
      </c>
      <c r="S11" s="30">
        <v>56.555</v>
      </c>
      <c r="T11" s="30">
        <v>58.817</v>
      </c>
      <c r="U11" s="30">
        <v>61.170999999999999</v>
      </c>
      <c r="V11" s="30">
        <v>63.311</v>
      </c>
      <c r="W11" s="30">
        <v>65.37</v>
      </c>
      <c r="X11" s="30">
        <v>67.495000000000005</v>
      </c>
      <c r="Y11" s="30">
        <v>69.248000000000005</v>
      </c>
      <c r="Z11" s="30">
        <v>70.98</v>
      </c>
      <c r="AA11" s="30">
        <v>72.754000000000005</v>
      </c>
      <c r="AC11" s="141" t="s">
        <v>127</v>
      </c>
      <c r="AD11" s="141"/>
      <c r="AE11" s="141" t="s">
        <v>128</v>
      </c>
      <c r="AF11" s="141"/>
      <c r="AG11" s="11"/>
      <c r="AH11" s="141" t="s">
        <v>133</v>
      </c>
      <c r="AI11" s="140"/>
      <c r="AJ11" s="11"/>
      <c r="AK11" s="45" t="s">
        <v>158</v>
      </c>
      <c r="AL11" s="11"/>
    </row>
    <row r="12" spans="2:44" x14ac:dyDescent="0.25">
      <c r="H12" t="s">
        <v>74</v>
      </c>
      <c r="I12" s="3" t="s">
        <v>11</v>
      </c>
      <c r="J12">
        <v>9</v>
      </c>
      <c r="K12">
        <v>2007</v>
      </c>
      <c r="M12" s="5">
        <v>8</v>
      </c>
      <c r="N12" s="5" t="str">
        <f>E104</f>
        <v>Level II (Inexpd.) (PD)</v>
      </c>
      <c r="O12" s="31">
        <v>47.573999999999998</v>
      </c>
      <c r="P12" s="31">
        <v>47.573999999999998</v>
      </c>
      <c r="Q12" s="31">
        <v>47.573999999999998</v>
      </c>
      <c r="R12" s="31">
        <v>47.573999999999998</v>
      </c>
      <c r="S12" s="31">
        <v>47.573999999999998</v>
      </c>
      <c r="T12" s="31">
        <v>47.573999999999998</v>
      </c>
      <c r="U12" s="31">
        <v>47.573999999999998</v>
      </c>
      <c r="V12" s="31">
        <v>47.573999999999998</v>
      </c>
      <c r="W12" s="31">
        <v>47.573999999999998</v>
      </c>
      <c r="X12" s="31">
        <v>47.573999999999998</v>
      </c>
      <c r="Y12" s="31">
        <v>47.573999999999998</v>
      </c>
      <c r="Z12" s="31">
        <v>47.573999999999998</v>
      </c>
      <c r="AA12" s="31">
        <v>47.573999999999998</v>
      </c>
      <c r="AC12" s="5" t="s">
        <v>190</v>
      </c>
      <c r="AD12">
        <f>(HLOOKUP(AD5,M4:AA40,20,FALSE))</f>
        <v>4800</v>
      </c>
      <c r="AE12" s="5" t="s">
        <v>123</v>
      </c>
      <c r="AF12" s="38" t="str">
        <f>AI13&amp;"/"&amp;'NUHW to UNAC Conversion'!E14&amp;"/"&amp;'NUHW to UNAC Conversion'!F14</f>
        <v>12/30/2014</v>
      </c>
      <c r="AH12" s="5" t="s">
        <v>135</v>
      </c>
      <c r="AI12" t="str">
        <f>'NUHW to UNAC Conversion'!D14</f>
        <v>December</v>
      </c>
    </row>
    <row r="13" spans="2:44" x14ac:dyDescent="0.25">
      <c r="H13" t="s">
        <v>75</v>
      </c>
      <c r="I13" s="3" t="s">
        <v>12</v>
      </c>
      <c r="J13">
        <v>10</v>
      </c>
      <c r="K13">
        <v>2006</v>
      </c>
      <c r="M13" s="5">
        <v>9</v>
      </c>
      <c r="N13" s="5" t="str">
        <f>E152</f>
        <v>Level II (PD)</v>
      </c>
      <c r="O13" s="31">
        <v>47.573999999999998</v>
      </c>
      <c r="P13" s="31">
        <v>50.427999999999997</v>
      </c>
      <c r="Q13" s="31">
        <v>54.463000000000001</v>
      </c>
      <c r="R13" s="31">
        <v>57.186</v>
      </c>
      <c r="S13" s="31">
        <v>60.045999999999999</v>
      </c>
      <c r="T13" s="31">
        <v>62.448</v>
      </c>
      <c r="U13" s="31">
        <v>64.944000000000003</v>
      </c>
      <c r="V13" s="31">
        <v>67.216999999999999</v>
      </c>
      <c r="W13" s="31">
        <v>69.403000000000006</v>
      </c>
      <c r="X13" s="31">
        <v>71.658000000000001</v>
      </c>
      <c r="Y13" s="31">
        <v>73.52</v>
      </c>
      <c r="Z13" s="31">
        <v>75.358999999999995</v>
      </c>
      <c r="AA13" s="31">
        <v>77.242999999999995</v>
      </c>
      <c r="AC13" s="5" t="s">
        <v>191</v>
      </c>
      <c r="AD13">
        <f ca="1">((AF13-AF12)/365)*1600</f>
        <v>793.42465753424665</v>
      </c>
      <c r="AE13" s="5" t="s">
        <v>124</v>
      </c>
      <c r="AF13" s="38">
        <f ca="1">TODAY()</f>
        <v>42184</v>
      </c>
      <c r="AH13" s="5" t="s">
        <v>134</v>
      </c>
      <c r="AI13">
        <f>VLOOKUP(AI12,AH14:AI26,2,FALSE)</f>
        <v>12</v>
      </c>
    </row>
    <row r="14" spans="2:44" x14ac:dyDescent="0.25">
      <c r="H14" t="s">
        <v>76</v>
      </c>
      <c r="I14" s="3" t="s">
        <v>13</v>
      </c>
      <c r="J14">
        <v>11</v>
      </c>
      <c r="K14">
        <v>2005</v>
      </c>
      <c r="M14" s="5">
        <v>10</v>
      </c>
      <c r="N14" s="5" t="str">
        <f>E200</f>
        <v>Level III (PD)</v>
      </c>
      <c r="O14" s="31">
        <v>49.48</v>
      </c>
      <c r="P14" s="31">
        <v>52.448</v>
      </c>
      <c r="Q14" s="31">
        <v>56.643999999999998</v>
      </c>
      <c r="R14" s="31">
        <v>59.476999999999997</v>
      </c>
      <c r="S14" s="31">
        <v>62.448999999999998</v>
      </c>
      <c r="T14" s="31">
        <v>64.945999999999998</v>
      </c>
      <c r="U14" s="31">
        <v>67.543999999999997</v>
      </c>
      <c r="V14" s="31">
        <v>69.908000000000001</v>
      </c>
      <c r="W14" s="31">
        <v>72.180000000000007</v>
      </c>
      <c r="X14" s="31">
        <v>74.527000000000001</v>
      </c>
      <c r="Y14" s="31">
        <v>76.465000000000003</v>
      </c>
      <c r="Z14" s="31">
        <v>78.376000000000005</v>
      </c>
      <c r="AA14" s="31">
        <v>80.335999999999999</v>
      </c>
      <c r="AC14" s="5" t="s">
        <v>116</v>
      </c>
      <c r="AD14" s="78">
        <f ca="1">AD12+AD13</f>
        <v>5593.4246575342468</v>
      </c>
      <c r="AE14" s="5" t="s">
        <v>125</v>
      </c>
      <c r="AF14" s="42">
        <f ca="1">(AF13-AF12)/7</f>
        <v>25.857142857142858</v>
      </c>
      <c r="AH14">
        <v>0</v>
      </c>
      <c r="AI14" t="s">
        <v>109</v>
      </c>
    </row>
    <row r="15" spans="2:44" x14ac:dyDescent="0.25">
      <c r="H15" t="s">
        <v>77</v>
      </c>
      <c r="I15" s="3" t="s">
        <v>14</v>
      </c>
      <c r="J15">
        <v>12</v>
      </c>
      <c r="K15">
        <v>2004</v>
      </c>
      <c r="M15" s="5">
        <v>11</v>
      </c>
      <c r="N15" s="5" t="str">
        <f>E299</f>
        <v>Level IV (PD)</v>
      </c>
      <c r="O15" s="31" t="s">
        <v>91</v>
      </c>
      <c r="P15" s="31">
        <v>52.95</v>
      </c>
      <c r="Q15" s="31">
        <v>57.186</v>
      </c>
      <c r="R15" s="31">
        <v>60.045999999999999</v>
      </c>
      <c r="S15" s="31">
        <v>63.046999999999997</v>
      </c>
      <c r="T15" s="31">
        <v>65.567999999999998</v>
      </c>
      <c r="U15" s="31">
        <v>68.191999999999993</v>
      </c>
      <c r="V15" s="31">
        <v>70.578000000000003</v>
      </c>
      <c r="W15" s="31">
        <v>72.872</v>
      </c>
      <c r="X15" s="31">
        <v>75.239999999999995</v>
      </c>
      <c r="Y15" s="31">
        <v>77.197000000000003</v>
      </c>
      <c r="Z15" s="31">
        <v>79.128</v>
      </c>
      <c r="AA15" s="31">
        <v>81.106999999999999</v>
      </c>
      <c r="AC15" s="5" t="s">
        <v>117</v>
      </c>
      <c r="AD15" s="56">
        <f ca="1">AD14+1600+AC33</f>
        <v>7193.4246575342468</v>
      </c>
      <c r="AE15" s="5" t="s">
        <v>126</v>
      </c>
      <c r="AF15" s="42">
        <f ca="1">AF14*'NUHW to UNAC Conversion'!D11+AC33</f>
        <v>930.85714285714289</v>
      </c>
      <c r="AH15" t="str">
        <f>I4</f>
        <v>January</v>
      </c>
      <c r="AI15">
        <f>J4</f>
        <v>1</v>
      </c>
    </row>
    <row r="16" spans="2:44" x14ac:dyDescent="0.25">
      <c r="H16" t="s">
        <v>78</v>
      </c>
      <c r="J16">
        <v>13</v>
      </c>
      <c r="K16">
        <v>2003</v>
      </c>
      <c r="M16" s="5">
        <v>12</v>
      </c>
      <c r="N16" s="5" t="str">
        <f>E302</f>
        <v>Level V (PD)</v>
      </c>
      <c r="O16" s="31" t="s">
        <v>91</v>
      </c>
      <c r="P16" s="31">
        <v>54.283000000000001</v>
      </c>
      <c r="Q16" s="31">
        <v>58.625999999999998</v>
      </c>
      <c r="R16" s="31">
        <v>61.555999999999997</v>
      </c>
      <c r="S16" s="31">
        <v>64.635999999999996</v>
      </c>
      <c r="T16" s="31">
        <v>67.221999999999994</v>
      </c>
      <c r="U16" s="31">
        <v>69.908000000000001</v>
      </c>
      <c r="V16" s="31">
        <v>72.355000000000004</v>
      </c>
      <c r="W16" s="31">
        <v>74.706000000000003</v>
      </c>
      <c r="X16" s="31">
        <v>77.135999999999996</v>
      </c>
      <c r="Y16" s="31">
        <v>79.141000000000005</v>
      </c>
      <c r="Z16" s="31">
        <v>81.12</v>
      </c>
      <c r="AA16" s="31">
        <v>83.147000000000006</v>
      </c>
      <c r="AC16" s="5" t="s">
        <v>118</v>
      </c>
      <c r="AD16" s="35">
        <f ca="1">HLOOKUP(AD15,M23:AA40,G20+2,TRUE)</f>
        <v>53.601199999999999</v>
      </c>
      <c r="AE16" s="5" t="s">
        <v>129</v>
      </c>
      <c r="AF16" s="42">
        <f ca="1">AF15+AD12</f>
        <v>5730.8571428571431</v>
      </c>
      <c r="AH16" t="str">
        <f t="shared" ref="AH16:AH26" si="0">I5</f>
        <v>Febuary</v>
      </c>
      <c r="AI16">
        <f t="shared" ref="AI16:AI26" si="1">J5</f>
        <v>2</v>
      </c>
    </row>
    <row r="17" spans="2:35" x14ac:dyDescent="0.25">
      <c r="J17">
        <v>14</v>
      </c>
      <c r="K17">
        <v>2002</v>
      </c>
      <c r="M17" s="5">
        <v>13</v>
      </c>
      <c r="N17" s="5" t="str">
        <f>E346</f>
        <v>PHN (PD)</v>
      </c>
      <c r="O17" s="31" t="s">
        <v>91</v>
      </c>
      <c r="P17" s="31">
        <v>54.283000000000001</v>
      </c>
      <c r="Q17" s="31">
        <v>58.625999999999998</v>
      </c>
      <c r="R17" s="31">
        <v>61.555999999999997</v>
      </c>
      <c r="S17" s="31">
        <v>64.635999999999996</v>
      </c>
      <c r="T17" s="31">
        <v>67.221999999999994</v>
      </c>
      <c r="U17" s="31">
        <v>69.908000000000001</v>
      </c>
      <c r="V17" s="31">
        <v>72.355000000000004</v>
      </c>
      <c r="W17" s="31">
        <v>74.706999999999994</v>
      </c>
      <c r="X17" s="31">
        <v>77.135999999999996</v>
      </c>
      <c r="Y17" s="31">
        <v>79.141000000000005</v>
      </c>
      <c r="Z17" s="31">
        <v>81.12</v>
      </c>
      <c r="AA17" s="31">
        <v>83.147000000000006</v>
      </c>
      <c r="AC17" s="5" t="s">
        <v>119</v>
      </c>
      <c r="AD17">
        <f ca="1">AD15+1600</f>
        <v>8793.4246575342477</v>
      </c>
      <c r="AE17" s="5" t="s">
        <v>130</v>
      </c>
      <c r="AF17" s="40">
        <f>'NUHW to UNAC Conversion'!D11*52</f>
        <v>1872</v>
      </c>
      <c r="AH17" t="str">
        <f t="shared" si="0"/>
        <v>March</v>
      </c>
      <c r="AI17">
        <f t="shared" si="1"/>
        <v>3</v>
      </c>
    </row>
    <row r="18" spans="2:35" ht="15.75" x14ac:dyDescent="0.25">
      <c r="B18" s="146" t="s">
        <v>82</v>
      </c>
      <c r="C18" s="146"/>
      <c r="D18" s="147"/>
      <c r="E18" s="147"/>
      <c r="F18" s="147"/>
      <c r="G18" s="148"/>
      <c r="H18" s="140"/>
      <c r="J18">
        <v>15</v>
      </c>
      <c r="K18">
        <v>2001</v>
      </c>
      <c r="M18" s="5">
        <v>14</v>
      </c>
      <c r="N18" s="5" t="str">
        <f>E345</f>
        <v>Sr. PHN (PD)</v>
      </c>
      <c r="O18" s="31" t="s">
        <v>91</v>
      </c>
      <c r="P18" s="31">
        <v>56.996000000000002</v>
      </c>
      <c r="Q18" s="31">
        <v>61.555999999999997</v>
      </c>
      <c r="R18" s="31">
        <v>64.635999999999996</v>
      </c>
      <c r="S18" s="31">
        <v>67.866</v>
      </c>
      <c r="T18" s="31">
        <v>70.58</v>
      </c>
      <c r="U18" s="31">
        <v>73.405000000000001</v>
      </c>
      <c r="V18" s="31">
        <v>75.972999999999999</v>
      </c>
      <c r="W18" s="31">
        <v>78.444000000000003</v>
      </c>
      <c r="X18" s="31">
        <v>80.994</v>
      </c>
      <c r="Y18" s="31">
        <v>83.097999999999999</v>
      </c>
      <c r="Z18" s="31">
        <v>85.176000000000002</v>
      </c>
      <c r="AA18" s="31">
        <v>87.305000000000007</v>
      </c>
      <c r="AC18" s="5" t="s">
        <v>120</v>
      </c>
      <c r="AD18" s="35">
        <f ca="1">HLOOKUP(AD17,M43:AA60,G20+2,TRUE)</f>
        <v>57.415908000000002</v>
      </c>
      <c r="AE18" s="5" t="s">
        <v>131</v>
      </c>
      <c r="AF18" s="42">
        <f ca="1">AF17+AF16</f>
        <v>7602.8571428571431</v>
      </c>
      <c r="AH18" t="str">
        <f t="shared" si="0"/>
        <v>April</v>
      </c>
      <c r="AI18">
        <f t="shared" si="1"/>
        <v>4</v>
      </c>
    </row>
    <row r="19" spans="2:35" x14ac:dyDescent="0.25">
      <c r="B19" s="23" t="s">
        <v>83</v>
      </c>
      <c r="C19" s="23"/>
      <c r="D19" s="28" t="s">
        <v>84</v>
      </c>
      <c r="E19" s="5" t="s">
        <v>105</v>
      </c>
      <c r="F19" s="5" t="s">
        <v>106</v>
      </c>
      <c r="H19" s="23" t="s">
        <v>85</v>
      </c>
      <c r="J19">
        <v>16</v>
      </c>
      <c r="K19">
        <v>2000</v>
      </c>
      <c r="M19" s="5">
        <v>15</v>
      </c>
      <c r="N19" s="5" t="s">
        <v>109</v>
      </c>
      <c r="O19" s="5" t="s">
        <v>109</v>
      </c>
      <c r="P19" s="5" t="s">
        <v>109</v>
      </c>
      <c r="Q19" s="5"/>
      <c r="R19" s="5"/>
      <c r="S19" s="5"/>
      <c r="T19" s="5"/>
      <c r="U19" s="5"/>
      <c r="V19" s="5"/>
      <c r="W19" s="5"/>
      <c r="X19" s="5"/>
      <c r="Y19" s="5"/>
      <c r="Z19" s="5"/>
      <c r="AA19" s="5"/>
      <c r="AC19" s="5" t="s">
        <v>121</v>
      </c>
      <c r="AD19">
        <f ca="1">AD17+1600</f>
        <v>10393.424657534248</v>
      </c>
      <c r="AE19" s="5" t="s">
        <v>132</v>
      </c>
      <c r="AF19" s="39" t="str">
        <f ca="1">HLOOKUP(AF18,M23:AA40,2,TRUE)</f>
        <v>4 Yr.</v>
      </c>
      <c r="AH19" t="str">
        <f t="shared" si="0"/>
        <v>May</v>
      </c>
      <c r="AI19">
        <f t="shared" si="1"/>
        <v>5</v>
      </c>
    </row>
    <row r="20" spans="2:35" x14ac:dyDescent="0.25">
      <c r="B20" s="21" t="str">
        <f>'NUHW to UNAC Conversion'!D5&amp;'NUHW to UNAC Conversion'!D6&amp;'NUHW to UNAC Conversion'!D8&amp;'NUHW to UNAC Conversion'!D9</f>
        <v>Level II Staff RN - HospitalFT</v>
      </c>
      <c r="C20" s="21">
        <v>1</v>
      </c>
      <c r="D20" s="26" t="str">
        <f>$B$3&amp;$D$3&amp;$E$3&amp;$G$3</f>
        <v/>
      </c>
      <c r="F20">
        <v>15</v>
      </c>
      <c r="G20">
        <f>VLOOKUP(B20,D20:F356,3,FALSE)</f>
        <v>2</v>
      </c>
      <c r="H20">
        <f>VLOOKUP(B20,D20:F356,3,FALSE)</f>
        <v>2</v>
      </c>
      <c r="J20">
        <v>17</v>
      </c>
      <c r="M20" s="5">
        <v>16</v>
      </c>
      <c r="O20" s="31" t="s">
        <v>91</v>
      </c>
      <c r="P20" s="31" t="s">
        <v>91</v>
      </c>
      <c r="Q20" s="31" t="s">
        <v>91</v>
      </c>
      <c r="R20" s="31" t="s">
        <v>91</v>
      </c>
      <c r="S20" s="31" t="s">
        <v>91</v>
      </c>
      <c r="T20" s="31" t="s">
        <v>91</v>
      </c>
      <c r="U20" s="31" t="s">
        <v>91</v>
      </c>
      <c r="V20" s="31" t="s">
        <v>91</v>
      </c>
      <c r="W20" s="31" t="s">
        <v>91</v>
      </c>
      <c r="X20" s="31" t="s">
        <v>91</v>
      </c>
      <c r="Y20" s="31" t="s">
        <v>91</v>
      </c>
      <c r="Z20" s="31" t="s">
        <v>91</v>
      </c>
      <c r="AA20" s="31" t="s">
        <v>91</v>
      </c>
      <c r="AC20" s="5" t="s">
        <v>122</v>
      </c>
      <c r="AD20" s="36">
        <f ca="1">HLOOKUP(AD19,M64:AA81,G20+2,TRUE)</f>
        <v>61.802262704000007</v>
      </c>
      <c r="AE20" s="5" t="s">
        <v>139</v>
      </c>
      <c r="AF20" s="43">
        <f ca="1">HLOOKUP(AF18,M23:AA40,G20+2,TRUE)</f>
        <v>53.601199999999999</v>
      </c>
      <c r="AH20" t="str">
        <f t="shared" si="0"/>
        <v>June</v>
      </c>
      <c r="AI20">
        <f t="shared" si="1"/>
        <v>6</v>
      </c>
    </row>
    <row r="21" spans="2:35" x14ac:dyDescent="0.25">
      <c r="C21" s="21">
        <v>2</v>
      </c>
      <c r="D21" s="26" t="str">
        <f>$B$3&amp;$D$3&amp;$E$3&amp;$G$4</f>
        <v>Yes</v>
      </c>
      <c r="F21">
        <v>15</v>
      </c>
      <c r="J21">
        <v>18</v>
      </c>
      <c r="M21" t="s">
        <v>109</v>
      </c>
      <c r="AE21" s="5" t="s">
        <v>138</v>
      </c>
      <c r="AF21" s="42">
        <f ca="1">AF18+AF17</f>
        <v>9474.8571428571431</v>
      </c>
      <c r="AH21" t="str">
        <f t="shared" si="0"/>
        <v>July</v>
      </c>
      <c r="AI21">
        <f t="shared" si="1"/>
        <v>7</v>
      </c>
    </row>
    <row r="22" spans="2:35" x14ac:dyDescent="0.25">
      <c r="C22" s="21">
        <v>3</v>
      </c>
      <c r="D22" s="26" t="str">
        <f>$B$3&amp;$D$3&amp;$E$3&amp;$G$5</f>
        <v>No</v>
      </c>
      <c r="F22">
        <v>15</v>
      </c>
      <c r="J22">
        <v>19</v>
      </c>
      <c r="M22" s="138" t="s">
        <v>112</v>
      </c>
      <c r="N22" s="137"/>
      <c r="O22" s="137"/>
      <c r="P22" s="137"/>
      <c r="Q22" s="137"/>
      <c r="R22" s="137"/>
      <c r="S22" s="137"/>
      <c r="T22" s="137"/>
      <c r="U22" s="137"/>
      <c r="V22" s="137"/>
      <c r="W22" s="137"/>
      <c r="X22" s="137"/>
      <c r="Y22" s="137"/>
      <c r="Z22" s="137"/>
      <c r="AA22" s="137"/>
      <c r="AE22" s="5" t="s">
        <v>140</v>
      </c>
      <c r="AF22" s="40" t="str">
        <f ca="1">HLOOKUP(AF21,M43:AA60,2,TRUE)</f>
        <v>5 Yr.</v>
      </c>
      <c r="AH22" t="str">
        <f t="shared" si="0"/>
        <v>August</v>
      </c>
      <c r="AI22">
        <f t="shared" si="1"/>
        <v>8</v>
      </c>
    </row>
    <row r="23" spans="2:35" x14ac:dyDescent="0.25">
      <c r="C23" s="21">
        <v>4</v>
      </c>
      <c r="D23" s="26" t="str">
        <f>$B$3&amp;$D$3&amp;$E$4&amp;$G$3</f>
        <v>Level II Staff RN - Hospital</v>
      </c>
      <c r="F23">
        <v>15</v>
      </c>
      <c r="J23">
        <v>20</v>
      </c>
      <c r="N23" s="5"/>
      <c r="O23" s="29">
        <v>-800</v>
      </c>
      <c r="P23" s="29">
        <v>0</v>
      </c>
      <c r="Q23" s="29">
        <v>1600</v>
      </c>
      <c r="R23" s="29">
        <f>Q23*2</f>
        <v>3200</v>
      </c>
      <c r="S23" s="29">
        <f>Q23*3</f>
        <v>4800</v>
      </c>
      <c r="T23" s="29">
        <f>Q23*4</f>
        <v>6400</v>
      </c>
      <c r="U23" s="29">
        <f>Q23*5</f>
        <v>8000</v>
      </c>
      <c r="V23" s="29">
        <f>Q23*6</f>
        <v>9600</v>
      </c>
      <c r="W23" s="29">
        <f>Q23*8</f>
        <v>12800</v>
      </c>
      <c r="X23" s="29">
        <f>Q23*10</f>
        <v>16000</v>
      </c>
      <c r="Y23" s="29">
        <f>Q23*15</f>
        <v>24000</v>
      </c>
      <c r="Z23" s="29">
        <f>Q23*20</f>
        <v>32000</v>
      </c>
      <c r="AA23" s="29">
        <f>Q23*25</f>
        <v>40000</v>
      </c>
      <c r="AE23" s="5" t="s">
        <v>137</v>
      </c>
      <c r="AF23" s="39">
        <f ca="1">HLOOKUP(AF21,M43:AA60,G20+2,TRUE)</f>
        <v>57.415908000000002</v>
      </c>
      <c r="AH23" t="str">
        <f t="shared" si="0"/>
        <v>September</v>
      </c>
      <c r="AI23">
        <f t="shared" si="1"/>
        <v>9</v>
      </c>
    </row>
    <row r="24" spans="2:35" x14ac:dyDescent="0.25">
      <c r="C24" s="21">
        <v>5</v>
      </c>
      <c r="D24" s="26" t="str">
        <f>$B$3&amp;$D$3&amp;$E$4&amp;$G$4</f>
        <v>Level II Staff RN - HospitalYes</v>
      </c>
      <c r="F24">
        <v>15</v>
      </c>
      <c r="J24">
        <v>21</v>
      </c>
      <c r="N24" s="5"/>
      <c r="O24" s="29" t="s">
        <v>89</v>
      </c>
      <c r="P24" s="29" t="s">
        <v>67</v>
      </c>
      <c r="Q24" s="29" t="s">
        <v>68</v>
      </c>
      <c r="R24" s="29" t="s">
        <v>69</v>
      </c>
      <c r="S24" s="29" t="s">
        <v>70</v>
      </c>
      <c r="T24" s="29" t="s">
        <v>71</v>
      </c>
      <c r="U24" s="29" t="s">
        <v>72</v>
      </c>
      <c r="V24" s="29" t="s">
        <v>73</v>
      </c>
      <c r="W24" s="29" t="s">
        <v>74</v>
      </c>
      <c r="X24" s="29" t="s">
        <v>75</v>
      </c>
      <c r="Y24" s="29" t="s">
        <v>76</v>
      </c>
      <c r="Z24" s="29" t="s">
        <v>77</v>
      </c>
      <c r="AA24" s="29" t="s">
        <v>78</v>
      </c>
      <c r="AB24" s="144"/>
      <c r="AC24" s="144"/>
      <c r="AD24" s="37"/>
      <c r="AE24" s="5" t="s">
        <v>141</v>
      </c>
      <c r="AF24" s="42">
        <f ca="1">AF21+AF17</f>
        <v>11346.857142857143</v>
      </c>
      <c r="AH24" t="str">
        <f t="shared" si="0"/>
        <v>October</v>
      </c>
      <c r="AI24">
        <f t="shared" si="1"/>
        <v>10</v>
      </c>
    </row>
    <row r="25" spans="2:35" x14ac:dyDescent="0.25">
      <c r="C25" s="21">
        <v>6</v>
      </c>
      <c r="D25" s="26" t="str">
        <f>$B$3&amp;$D$3&amp;$E$4&amp;$G$5</f>
        <v>Level II Staff RN - HospitalNo</v>
      </c>
      <c r="F25">
        <v>15</v>
      </c>
      <c r="J25">
        <v>22</v>
      </c>
      <c r="M25" s="5">
        <v>1</v>
      </c>
      <c r="N25" s="5" t="str">
        <f t="shared" ref="N25:N39" si="2">N5</f>
        <v>Level II (Inexpd.) (FT/PT)</v>
      </c>
      <c r="O25" s="33">
        <f t="shared" ref="O25:AA25" si="3">O5*1.03</f>
        <v>40.834350000000008</v>
      </c>
      <c r="P25" s="33">
        <f t="shared" si="3"/>
        <v>40.834350000000008</v>
      </c>
      <c r="Q25" s="33">
        <f t="shared" si="3"/>
        <v>40.834350000000008</v>
      </c>
      <c r="R25" s="33">
        <f t="shared" si="3"/>
        <v>40.834350000000008</v>
      </c>
      <c r="S25" s="33">
        <f t="shared" si="3"/>
        <v>40.834350000000008</v>
      </c>
      <c r="T25" s="33">
        <f t="shared" si="3"/>
        <v>40.834350000000008</v>
      </c>
      <c r="U25" s="33">
        <f t="shared" si="3"/>
        <v>40.834350000000008</v>
      </c>
      <c r="V25" s="33">
        <f t="shared" si="3"/>
        <v>40.834350000000008</v>
      </c>
      <c r="W25" s="33">
        <f t="shared" si="3"/>
        <v>40.834350000000008</v>
      </c>
      <c r="X25" s="33">
        <f t="shared" si="3"/>
        <v>40.834350000000008</v>
      </c>
      <c r="Y25" s="33">
        <f t="shared" si="3"/>
        <v>40.834350000000008</v>
      </c>
      <c r="Z25" s="33">
        <f t="shared" si="3"/>
        <v>40.834350000000008</v>
      </c>
      <c r="AA25" s="33">
        <f t="shared" si="3"/>
        <v>40.834350000000008</v>
      </c>
      <c r="AB25" s="144"/>
      <c r="AC25" s="144"/>
      <c r="AD25" s="38"/>
      <c r="AE25" s="5" t="s">
        <v>142</v>
      </c>
      <c r="AF25" s="40" t="str">
        <f ca="1">HLOOKUP(AF24,M64:AA81,2,TRUE)</f>
        <v>6 Yr.</v>
      </c>
      <c r="AH25" t="str">
        <f t="shared" si="0"/>
        <v>November</v>
      </c>
      <c r="AI25">
        <f t="shared" si="1"/>
        <v>11</v>
      </c>
    </row>
    <row r="26" spans="2:35" ht="14.45" customHeight="1" x14ac:dyDescent="0.25">
      <c r="C26" s="21">
        <v>7</v>
      </c>
      <c r="D26" s="26" t="str">
        <f>$B$3&amp;$D$3&amp;$E$5&amp;$G$3</f>
        <v>Level II Step Down Unit RN</v>
      </c>
      <c r="F26">
        <v>15</v>
      </c>
      <c r="J26">
        <v>23</v>
      </c>
      <c r="M26" s="5">
        <v>2</v>
      </c>
      <c r="N26" s="5" t="str">
        <f t="shared" si="2"/>
        <v>Level II (FT/PT)</v>
      </c>
      <c r="O26" s="33">
        <f t="shared" ref="O26:AA26" si="4">O6*1.03</f>
        <v>40.834350000000008</v>
      </c>
      <c r="P26" s="33">
        <f t="shared" si="4"/>
        <v>43.283690000000007</v>
      </c>
      <c r="Q26" s="33">
        <f t="shared" si="4"/>
        <v>46.747580000000006</v>
      </c>
      <c r="R26" s="33">
        <f t="shared" si="4"/>
        <v>49.084650000000003</v>
      </c>
      <c r="S26" s="33">
        <f t="shared" si="4"/>
        <v>51.539139999999996</v>
      </c>
      <c r="T26" s="33">
        <f t="shared" si="4"/>
        <v>53.601199999999999</v>
      </c>
      <c r="U26" s="33">
        <f t="shared" si="4"/>
        <v>55.743600000000001</v>
      </c>
      <c r="V26" s="33">
        <f t="shared" si="4"/>
        <v>57.694420000000008</v>
      </c>
      <c r="W26" s="33">
        <f t="shared" si="4"/>
        <v>59.571080000000002</v>
      </c>
      <c r="X26" s="33">
        <f t="shared" si="4"/>
        <v>61.506450000000008</v>
      </c>
      <c r="Y26" s="33">
        <f t="shared" si="4"/>
        <v>63.105010000000007</v>
      </c>
      <c r="Z26" s="33">
        <f t="shared" si="4"/>
        <v>64.682969999999997</v>
      </c>
      <c r="AA26" s="33">
        <f t="shared" si="4"/>
        <v>66.300070000000005</v>
      </c>
      <c r="AB26" s="142"/>
      <c r="AC26" s="143"/>
      <c r="AD26" s="36"/>
      <c r="AE26" s="5" t="s">
        <v>137</v>
      </c>
      <c r="AF26" s="39">
        <f ca="1">HLOOKUP(AF24,M64:AA81,G20+2,TRUE)</f>
        <v>61.802262704000007</v>
      </c>
      <c r="AH26" t="str">
        <f t="shared" si="0"/>
        <v>December</v>
      </c>
      <c r="AI26">
        <f t="shared" si="1"/>
        <v>12</v>
      </c>
    </row>
    <row r="27" spans="2:35" x14ac:dyDescent="0.25">
      <c r="C27" s="21">
        <v>8</v>
      </c>
      <c r="D27" s="26" t="str">
        <f>$B$3&amp;$D$3&amp;$E$5&amp;$G$4</f>
        <v>Level II Step Down Unit RNYes</v>
      </c>
      <c r="F27">
        <v>15</v>
      </c>
      <c r="J27">
        <v>24</v>
      </c>
      <c r="M27" s="5">
        <v>3</v>
      </c>
      <c r="N27" s="5" t="str">
        <f t="shared" si="2"/>
        <v>Level III (FT/PT)</v>
      </c>
      <c r="O27" s="33">
        <f t="shared" ref="O27:AA27" si="5">O7*1.03</f>
        <v>42.469989999999996</v>
      </c>
      <c r="P27" s="33">
        <f t="shared" si="5"/>
        <v>45.018210000000003</v>
      </c>
      <c r="Q27" s="33">
        <f t="shared" si="5"/>
        <v>48.619090000000007</v>
      </c>
      <c r="R27" s="33">
        <f t="shared" si="5"/>
        <v>51.050919999999998</v>
      </c>
      <c r="S27" s="33">
        <f t="shared" si="5"/>
        <v>53.602229999999999</v>
      </c>
      <c r="T27" s="33">
        <f t="shared" si="5"/>
        <v>55.745660000000001</v>
      </c>
      <c r="U27" s="33">
        <f t="shared" si="5"/>
        <v>57.975610000000003</v>
      </c>
      <c r="V27" s="33">
        <f t="shared" si="5"/>
        <v>60.004710000000003</v>
      </c>
      <c r="W27" s="33">
        <f t="shared" si="5"/>
        <v>61.954500000000003</v>
      </c>
      <c r="X27" s="33">
        <f t="shared" si="5"/>
        <v>63.969180000000001</v>
      </c>
      <c r="Y27" s="33">
        <f t="shared" si="5"/>
        <v>65.632629999999992</v>
      </c>
      <c r="Z27" s="33">
        <f t="shared" si="5"/>
        <v>67.272390000000001</v>
      </c>
      <c r="AA27" s="33">
        <f t="shared" si="5"/>
        <v>68.955410000000001</v>
      </c>
      <c r="AB27" s="142"/>
      <c r="AC27" s="143"/>
      <c r="AD27" s="93"/>
    </row>
    <row r="28" spans="2:35" x14ac:dyDescent="0.25">
      <c r="C28" s="21">
        <v>9</v>
      </c>
      <c r="D28" s="26" t="str">
        <f>$B$3&amp;$D$3&amp;$E$5&amp;$G$5</f>
        <v>Level II Step Down Unit RNNo</v>
      </c>
      <c r="F28">
        <v>15</v>
      </c>
      <c r="J28">
        <v>25</v>
      </c>
      <c r="M28" s="5">
        <v>4</v>
      </c>
      <c r="N28" s="5" t="str">
        <f t="shared" si="2"/>
        <v>Level IV (FT/PT)</v>
      </c>
      <c r="O28" s="33" t="s">
        <v>91</v>
      </c>
      <c r="P28" s="33">
        <f t="shared" ref="P28:AA28" si="6">P8*1.03</f>
        <v>45.448750000000004</v>
      </c>
      <c r="Q28" s="33">
        <f t="shared" si="6"/>
        <v>49.084650000000003</v>
      </c>
      <c r="R28" s="33">
        <f t="shared" si="6"/>
        <v>51.539139999999996</v>
      </c>
      <c r="S28" s="33">
        <f t="shared" si="6"/>
        <v>54.115170000000006</v>
      </c>
      <c r="T28" s="33">
        <f t="shared" si="6"/>
        <v>56.279200000000003</v>
      </c>
      <c r="U28" s="33">
        <f t="shared" si="6"/>
        <v>58.53181</v>
      </c>
      <c r="V28" s="33">
        <f t="shared" si="6"/>
        <v>60.579450000000001</v>
      </c>
      <c r="W28" s="33">
        <f t="shared" si="6"/>
        <v>62.548809999999996</v>
      </c>
      <c r="X28" s="33">
        <f t="shared" si="6"/>
        <v>64.581000000000003</v>
      </c>
      <c r="Y28" s="33">
        <f t="shared" si="6"/>
        <v>66.260930000000002</v>
      </c>
      <c r="Z28" s="33">
        <f t="shared" si="6"/>
        <v>67.918199999999999</v>
      </c>
      <c r="AA28" s="33">
        <f t="shared" si="6"/>
        <v>69.616669999999999</v>
      </c>
      <c r="AB28" s="142"/>
      <c r="AC28" s="143"/>
      <c r="AD28" s="94"/>
    </row>
    <row r="29" spans="2:35" x14ac:dyDescent="0.25">
      <c r="C29" s="21">
        <v>10</v>
      </c>
      <c r="D29" s="26" t="str">
        <f>$B$3&amp;$D$3&amp;$E$6&amp;$G$3</f>
        <v>Level III Spec Unit Staff RN - Hospital NICU -Transport RN</v>
      </c>
      <c r="F29">
        <v>15</v>
      </c>
      <c r="J29">
        <v>26</v>
      </c>
      <c r="M29" s="5">
        <v>5</v>
      </c>
      <c r="N29" s="5" t="str">
        <f t="shared" si="2"/>
        <v>Level V (FT/PT)</v>
      </c>
      <c r="O29" s="33" t="s">
        <v>91</v>
      </c>
      <c r="P29" s="33">
        <f t="shared" ref="P29:AA29" si="7">P9*1.03</f>
        <v>46.59308</v>
      </c>
      <c r="Q29" s="33">
        <f t="shared" si="7"/>
        <v>50.320650000000001</v>
      </c>
      <c r="R29" s="33">
        <f t="shared" si="7"/>
        <v>52.835909999999998</v>
      </c>
      <c r="S29" s="33">
        <f t="shared" si="7"/>
        <v>55.47889</v>
      </c>
      <c r="T29" s="33">
        <f t="shared" si="7"/>
        <v>57.698540000000001</v>
      </c>
      <c r="U29" s="33">
        <f t="shared" si="7"/>
        <v>60.004710000000003</v>
      </c>
      <c r="V29" s="33">
        <f t="shared" si="7"/>
        <v>62.104880000000001</v>
      </c>
      <c r="W29" s="33">
        <f t="shared" si="7"/>
        <v>64.122650000000007</v>
      </c>
      <c r="X29" s="33">
        <f t="shared" si="7"/>
        <v>66.208399999999997</v>
      </c>
      <c r="Y29" s="33">
        <f t="shared" si="7"/>
        <v>67.92953</v>
      </c>
      <c r="Z29" s="33">
        <f t="shared" si="7"/>
        <v>69.628</v>
      </c>
      <c r="AA29" s="33">
        <f t="shared" si="7"/>
        <v>71.367670000000004</v>
      </c>
      <c r="AC29" s="37"/>
    </row>
    <row r="30" spans="2:35" x14ac:dyDescent="0.25">
      <c r="C30" s="21">
        <v>11</v>
      </c>
      <c r="D30" s="26" t="str">
        <f>$B$3&amp;$D$3&amp;$E$6&amp;$G$4</f>
        <v>Level III Spec Unit Staff RN - Hospital NICU -Transport RNYes</v>
      </c>
      <c r="F30">
        <v>15</v>
      </c>
      <c r="J30">
        <v>27</v>
      </c>
      <c r="M30" s="5">
        <v>6</v>
      </c>
      <c r="N30" s="5" t="str">
        <f t="shared" si="2"/>
        <v>PHN (FT/PT)</v>
      </c>
      <c r="O30" s="33" t="s">
        <v>91</v>
      </c>
      <c r="P30" s="33">
        <f t="shared" ref="P30:AA30" si="8">P10*1.03</f>
        <v>46.59308</v>
      </c>
      <c r="Q30" s="33">
        <f t="shared" si="8"/>
        <v>50.320650000000001</v>
      </c>
      <c r="R30" s="33">
        <f t="shared" si="8"/>
        <v>52.835909999999998</v>
      </c>
      <c r="S30" s="33">
        <f t="shared" si="8"/>
        <v>55.47889</v>
      </c>
      <c r="T30" s="33">
        <f t="shared" si="8"/>
        <v>57.698540000000001</v>
      </c>
      <c r="U30" s="33">
        <f t="shared" si="8"/>
        <v>60.004710000000003</v>
      </c>
      <c r="V30" s="33">
        <f t="shared" si="8"/>
        <v>62.104880000000001</v>
      </c>
      <c r="W30" s="33">
        <f t="shared" si="8"/>
        <v>64.123680000000007</v>
      </c>
      <c r="X30" s="33">
        <f t="shared" si="8"/>
        <v>66.208399999999997</v>
      </c>
      <c r="Y30" s="33">
        <f t="shared" si="8"/>
        <v>67.92953</v>
      </c>
      <c r="Z30" s="33">
        <f t="shared" si="8"/>
        <v>69.628</v>
      </c>
      <c r="AA30" s="33">
        <f t="shared" si="8"/>
        <v>71.367670000000004</v>
      </c>
      <c r="AE30" s="76"/>
    </row>
    <row r="31" spans="2:35" x14ac:dyDescent="0.25">
      <c r="C31" s="21">
        <v>12</v>
      </c>
      <c r="D31" s="26" t="str">
        <f>$B$3&amp;$D$3&amp;$E$6&amp;$G$5</f>
        <v>Level III Spec Unit Staff RN - Hospital NICU -Transport RNNo</v>
      </c>
      <c r="F31">
        <v>15</v>
      </c>
      <c r="J31">
        <v>28</v>
      </c>
      <c r="M31" s="5">
        <v>7</v>
      </c>
      <c r="N31" s="5" t="str">
        <f t="shared" si="2"/>
        <v>Sr. PHN (FT/PT)</v>
      </c>
      <c r="O31" s="33" t="s">
        <v>91</v>
      </c>
      <c r="P31" s="33">
        <f t="shared" ref="P31:AA31" si="9">P11*1.03</f>
        <v>48.921910000000004</v>
      </c>
      <c r="Q31" s="33">
        <f t="shared" si="9"/>
        <v>52.835909999999998</v>
      </c>
      <c r="R31" s="33">
        <f t="shared" si="9"/>
        <v>55.47889</v>
      </c>
      <c r="S31" s="33">
        <f t="shared" si="9"/>
        <v>58.251649999999998</v>
      </c>
      <c r="T31" s="33">
        <f t="shared" si="9"/>
        <v>60.581510000000002</v>
      </c>
      <c r="U31" s="33">
        <f t="shared" si="9"/>
        <v>63.006129999999999</v>
      </c>
      <c r="V31" s="33">
        <f t="shared" si="9"/>
        <v>65.210329999999999</v>
      </c>
      <c r="W31" s="33">
        <f t="shared" si="9"/>
        <v>67.331100000000006</v>
      </c>
      <c r="X31" s="33">
        <f t="shared" si="9"/>
        <v>69.519850000000005</v>
      </c>
      <c r="Y31" s="33">
        <f t="shared" si="9"/>
        <v>71.32544</v>
      </c>
      <c r="Z31" s="33">
        <f t="shared" si="9"/>
        <v>73.109400000000008</v>
      </c>
      <c r="AA31" s="33">
        <f t="shared" si="9"/>
        <v>74.936620000000005</v>
      </c>
    </row>
    <row r="32" spans="2:35" x14ac:dyDescent="0.25">
      <c r="C32" s="21">
        <v>1</v>
      </c>
      <c r="D32" s="26" t="str">
        <f>$B$3&amp;$D$4&amp;$E$3&amp;$G$3</f>
        <v>FT</v>
      </c>
      <c r="F32">
        <v>15</v>
      </c>
      <c r="J32">
        <v>29</v>
      </c>
      <c r="M32" s="5">
        <v>8</v>
      </c>
      <c r="N32" s="5" t="str">
        <f t="shared" si="2"/>
        <v>Level II (Inexpd.) (PD)</v>
      </c>
      <c r="O32" s="33">
        <f>O12*1.03</f>
        <v>49.001219999999996</v>
      </c>
      <c r="P32" s="33">
        <f t="shared" ref="P32:AA32" si="10">P12*1.03</f>
        <v>49.001219999999996</v>
      </c>
      <c r="Q32" s="33">
        <f t="shared" si="10"/>
        <v>49.001219999999996</v>
      </c>
      <c r="R32" s="33">
        <f t="shared" si="10"/>
        <v>49.001219999999996</v>
      </c>
      <c r="S32" s="33">
        <f t="shared" si="10"/>
        <v>49.001219999999996</v>
      </c>
      <c r="T32" s="33">
        <f t="shared" si="10"/>
        <v>49.001219999999996</v>
      </c>
      <c r="U32" s="33">
        <f t="shared" si="10"/>
        <v>49.001219999999996</v>
      </c>
      <c r="V32" s="33">
        <f t="shared" si="10"/>
        <v>49.001219999999996</v>
      </c>
      <c r="W32" s="33">
        <f t="shared" si="10"/>
        <v>49.001219999999996</v>
      </c>
      <c r="X32" s="33">
        <f t="shared" si="10"/>
        <v>49.001219999999996</v>
      </c>
      <c r="Y32" s="33">
        <f t="shared" si="10"/>
        <v>49.001219999999996</v>
      </c>
      <c r="Z32" s="33">
        <f t="shared" si="10"/>
        <v>49.001219999999996</v>
      </c>
      <c r="AA32" s="33">
        <f t="shared" si="10"/>
        <v>49.001219999999996</v>
      </c>
      <c r="AC32" s="77" t="s">
        <v>173</v>
      </c>
      <c r="AD32" s="76"/>
    </row>
    <row r="33" spans="3:29" x14ac:dyDescent="0.25">
      <c r="C33" s="21">
        <v>2</v>
      </c>
      <c r="D33" s="26" t="str">
        <f>$B$3&amp;$D$4&amp;$E$3&amp;$G$4</f>
        <v>FTYes</v>
      </c>
      <c r="F33">
        <v>15</v>
      </c>
      <c r="J33">
        <v>30</v>
      </c>
      <c r="M33" s="5">
        <v>9</v>
      </c>
      <c r="N33" s="5" t="str">
        <f t="shared" si="2"/>
        <v>Level II (PD)</v>
      </c>
      <c r="O33" s="33">
        <f>O13*1.03</f>
        <v>49.001219999999996</v>
      </c>
      <c r="P33" s="33">
        <f t="shared" ref="P33:AA33" si="11">P13*1.03</f>
        <v>51.940840000000001</v>
      </c>
      <c r="Q33" s="33">
        <f t="shared" si="11"/>
        <v>56.096890000000002</v>
      </c>
      <c r="R33" s="33">
        <f t="shared" si="11"/>
        <v>58.901580000000003</v>
      </c>
      <c r="S33" s="33">
        <f t="shared" si="11"/>
        <v>61.847380000000001</v>
      </c>
      <c r="T33" s="33">
        <f t="shared" si="11"/>
        <v>64.321439999999996</v>
      </c>
      <c r="U33" s="33">
        <f t="shared" si="11"/>
        <v>66.892319999999998</v>
      </c>
      <c r="V33" s="33">
        <f t="shared" si="11"/>
        <v>69.233509999999995</v>
      </c>
      <c r="W33" s="33">
        <f t="shared" si="11"/>
        <v>71.485090000000014</v>
      </c>
      <c r="X33" s="33">
        <f t="shared" si="11"/>
        <v>73.80774000000001</v>
      </c>
      <c r="Y33" s="33">
        <f t="shared" si="11"/>
        <v>75.7256</v>
      </c>
      <c r="Z33" s="33">
        <f t="shared" si="11"/>
        <v>77.619770000000003</v>
      </c>
      <c r="AA33" s="33">
        <f t="shared" si="11"/>
        <v>79.560289999999995</v>
      </c>
      <c r="AC33" s="55">
        <f>IF(AND('NUHW to UNAC Conversion'!D7="Yes",OR('NUHW to UNAC Conversion'!D10="Inexpd.",'NUHW to UNAC Conversion'!D10="Start")),1600,IF(AND('NUHW to UNAC Conversion'!D7="Yes",'NUHW to UNAC Conversion'!D10="1 Yr."),800,0))</f>
        <v>0</v>
      </c>
    </row>
    <row r="34" spans="3:29" x14ac:dyDescent="0.25">
      <c r="C34" s="21">
        <v>3</v>
      </c>
      <c r="D34" s="26" t="str">
        <f>$B$3&amp;$D$4&amp;$E$3&amp;$G$5</f>
        <v>FTNo</v>
      </c>
      <c r="F34">
        <v>15</v>
      </c>
      <c r="J34">
        <v>31</v>
      </c>
      <c r="M34" s="5">
        <v>10</v>
      </c>
      <c r="N34" s="5" t="str">
        <f t="shared" si="2"/>
        <v>Level III (PD)</v>
      </c>
      <c r="O34" s="33">
        <f>O14*1.03</f>
        <v>50.964399999999998</v>
      </c>
      <c r="P34" s="33">
        <f t="shared" ref="P34:AA34" si="12">P14*1.03</f>
        <v>54.021439999999998</v>
      </c>
      <c r="Q34" s="33">
        <f t="shared" si="12"/>
        <v>58.343319999999999</v>
      </c>
      <c r="R34" s="33">
        <f t="shared" si="12"/>
        <v>61.261310000000002</v>
      </c>
      <c r="S34" s="33">
        <f t="shared" si="12"/>
        <v>64.322469999999996</v>
      </c>
      <c r="T34" s="33">
        <f t="shared" si="12"/>
        <v>66.894379999999998</v>
      </c>
      <c r="U34" s="33">
        <f t="shared" si="12"/>
        <v>69.570319999999995</v>
      </c>
      <c r="V34" s="33">
        <f t="shared" si="12"/>
        <v>72.005240000000001</v>
      </c>
      <c r="W34" s="33">
        <f t="shared" si="12"/>
        <v>74.345400000000012</v>
      </c>
      <c r="X34" s="33">
        <f t="shared" si="12"/>
        <v>76.762810000000002</v>
      </c>
      <c r="Y34" s="33">
        <f t="shared" si="12"/>
        <v>78.758949999999999</v>
      </c>
      <c r="Z34" s="33">
        <f t="shared" si="12"/>
        <v>80.727280000000007</v>
      </c>
      <c r="AA34" s="33">
        <f t="shared" si="12"/>
        <v>82.746080000000006</v>
      </c>
      <c r="AC34" s="33"/>
    </row>
    <row r="35" spans="3:29" x14ac:dyDescent="0.25">
      <c r="C35" s="21">
        <v>4</v>
      </c>
      <c r="D35" s="26" t="str">
        <f>$B$3&amp;$D$4&amp;$E$4&amp;$G$3</f>
        <v>FTLevel II Staff RN - Hospital</v>
      </c>
      <c r="F35">
        <v>15</v>
      </c>
      <c r="M35" s="5">
        <v>11</v>
      </c>
      <c r="N35" s="5" t="str">
        <f t="shared" si="2"/>
        <v>Level IV (PD)</v>
      </c>
      <c r="O35" s="33" t="s">
        <v>91</v>
      </c>
      <c r="P35" s="33">
        <f t="shared" ref="P35:AA35" si="13">P15*1.03</f>
        <v>54.538500000000006</v>
      </c>
      <c r="Q35" s="33">
        <f t="shared" si="13"/>
        <v>58.901580000000003</v>
      </c>
      <c r="R35" s="33">
        <f t="shared" si="13"/>
        <v>61.847380000000001</v>
      </c>
      <c r="S35" s="33">
        <f t="shared" si="13"/>
        <v>64.938410000000005</v>
      </c>
      <c r="T35" s="33">
        <f t="shared" si="13"/>
        <v>67.535039999999995</v>
      </c>
      <c r="U35" s="33">
        <f t="shared" si="13"/>
        <v>70.237759999999994</v>
      </c>
      <c r="V35" s="33">
        <f t="shared" si="13"/>
        <v>72.695340000000002</v>
      </c>
      <c r="W35" s="33">
        <f t="shared" si="13"/>
        <v>75.058160000000001</v>
      </c>
      <c r="X35" s="33">
        <f t="shared" si="13"/>
        <v>77.497199999999992</v>
      </c>
      <c r="Y35" s="33">
        <f t="shared" si="13"/>
        <v>79.512910000000005</v>
      </c>
      <c r="Z35" s="33">
        <f t="shared" si="13"/>
        <v>81.501840000000001</v>
      </c>
      <c r="AA35" s="33">
        <f t="shared" si="13"/>
        <v>83.540210000000002</v>
      </c>
      <c r="AC35" s="33"/>
    </row>
    <row r="36" spans="3:29" x14ac:dyDescent="0.25">
      <c r="C36" s="21">
        <v>5</v>
      </c>
      <c r="D36" s="26" t="str">
        <f>$B$3&amp;$D$4&amp;$E$4&amp;$G$4</f>
        <v>FTLevel II Staff RN - HospitalYes</v>
      </c>
      <c r="F36">
        <v>15</v>
      </c>
      <c r="M36" s="5">
        <v>12</v>
      </c>
      <c r="N36" s="5" t="str">
        <f t="shared" si="2"/>
        <v>Level V (PD)</v>
      </c>
      <c r="O36" s="33" t="s">
        <v>91</v>
      </c>
      <c r="P36" s="33">
        <f t="shared" ref="P36:AA36" si="14">P16*1.03</f>
        <v>55.911490000000001</v>
      </c>
      <c r="Q36" s="33">
        <f t="shared" si="14"/>
        <v>60.384779999999999</v>
      </c>
      <c r="R36" s="33">
        <f t="shared" si="14"/>
        <v>63.402679999999997</v>
      </c>
      <c r="S36" s="33">
        <f t="shared" si="14"/>
        <v>66.57508</v>
      </c>
      <c r="T36" s="33">
        <f t="shared" si="14"/>
        <v>69.238659999999996</v>
      </c>
      <c r="U36" s="33">
        <f t="shared" si="14"/>
        <v>72.005240000000001</v>
      </c>
      <c r="V36" s="33">
        <f t="shared" si="14"/>
        <v>74.525650000000013</v>
      </c>
      <c r="W36" s="33">
        <f t="shared" si="14"/>
        <v>76.947180000000003</v>
      </c>
      <c r="X36" s="33">
        <f t="shared" si="14"/>
        <v>79.45008</v>
      </c>
      <c r="Y36" s="33">
        <f t="shared" si="14"/>
        <v>81.515230000000003</v>
      </c>
      <c r="Z36" s="33">
        <f t="shared" si="14"/>
        <v>83.553600000000003</v>
      </c>
      <c r="AA36" s="33">
        <f t="shared" si="14"/>
        <v>85.641410000000008</v>
      </c>
      <c r="AC36" s="33"/>
    </row>
    <row r="37" spans="3:29" x14ac:dyDescent="0.25">
      <c r="C37" s="21">
        <v>6</v>
      </c>
      <c r="D37" s="26" t="str">
        <f>$B$3&amp;$D$4&amp;$E$4&amp;$G$5</f>
        <v>FTLevel II Staff RN - HospitalNo</v>
      </c>
      <c r="F37">
        <v>15</v>
      </c>
      <c r="M37" s="5">
        <v>13</v>
      </c>
      <c r="N37" s="5" t="str">
        <f t="shared" si="2"/>
        <v>PHN (PD)</v>
      </c>
      <c r="O37" s="33" t="s">
        <v>91</v>
      </c>
      <c r="P37" s="33">
        <f t="shared" ref="P37:AA37" si="15">P17*1.03</f>
        <v>55.911490000000001</v>
      </c>
      <c r="Q37" s="33">
        <f t="shared" si="15"/>
        <v>60.384779999999999</v>
      </c>
      <c r="R37" s="33">
        <f t="shared" si="15"/>
        <v>63.402679999999997</v>
      </c>
      <c r="S37" s="33">
        <f t="shared" si="15"/>
        <v>66.57508</v>
      </c>
      <c r="T37" s="33">
        <f t="shared" si="15"/>
        <v>69.238659999999996</v>
      </c>
      <c r="U37" s="33">
        <f t="shared" si="15"/>
        <v>72.005240000000001</v>
      </c>
      <c r="V37" s="33">
        <f t="shared" si="15"/>
        <v>74.525650000000013</v>
      </c>
      <c r="W37" s="33">
        <f t="shared" si="15"/>
        <v>76.948209999999989</v>
      </c>
      <c r="X37" s="33">
        <f t="shared" si="15"/>
        <v>79.45008</v>
      </c>
      <c r="Y37" s="33">
        <f t="shared" si="15"/>
        <v>81.515230000000003</v>
      </c>
      <c r="Z37" s="33">
        <f t="shared" si="15"/>
        <v>83.553600000000003</v>
      </c>
      <c r="AA37" s="33">
        <f t="shared" si="15"/>
        <v>85.641410000000008</v>
      </c>
    </row>
    <row r="38" spans="3:29" x14ac:dyDescent="0.25">
      <c r="C38" s="21">
        <v>7</v>
      </c>
      <c r="D38" s="26" t="str">
        <f>$B$3&amp;$D$4&amp;$E$5&amp;$G$3</f>
        <v>FTLevel II Step Down Unit RN</v>
      </c>
      <c r="F38">
        <v>15</v>
      </c>
      <c r="M38" s="5">
        <v>14</v>
      </c>
      <c r="N38" s="5" t="str">
        <f t="shared" si="2"/>
        <v>Sr. PHN (PD)</v>
      </c>
      <c r="O38" s="33" t="s">
        <v>91</v>
      </c>
      <c r="P38" s="33">
        <f t="shared" ref="P38:AA38" si="16">P18*1.03</f>
        <v>58.705880000000001</v>
      </c>
      <c r="Q38" s="33">
        <f t="shared" si="16"/>
        <v>63.402679999999997</v>
      </c>
      <c r="R38" s="33">
        <f t="shared" si="16"/>
        <v>66.57508</v>
      </c>
      <c r="S38" s="33">
        <f t="shared" si="16"/>
        <v>69.901979999999995</v>
      </c>
      <c r="T38" s="33">
        <f t="shared" si="16"/>
        <v>72.697400000000002</v>
      </c>
      <c r="U38" s="33">
        <f t="shared" si="16"/>
        <v>75.607150000000004</v>
      </c>
      <c r="V38" s="33">
        <f t="shared" si="16"/>
        <v>78.252189999999999</v>
      </c>
      <c r="W38" s="33">
        <f t="shared" si="16"/>
        <v>80.797319999999999</v>
      </c>
      <c r="X38" s="33">
        <f t="shared" si="16"/>
        <v>83.423820000000006</v>
      </c>
      <c r="Y38" s="33">
        <f t="shared" si="16"/>
        <v>85.590940000000003</v>
      </c>
      <c r="Z38" s="33">
        <f t="shared" si="16"/>
        <v>87.731279999999998</v>
      </c>
      <c r="AA38" s="33">
        <f t="shared" si="16"/>
        <v>89.924150000000012</v>
      </c>
    </row>
    <row r="39" spans="3:29" x14ac:dyDescent="0.25">
      <c r="C39" s="21">
        <v>8</v>
      </c>
      <c r="D39" s="26" t="str">
        <f>$B$3&amp;$D$4&amp;$E$5&amp;$G$4</f>
        <v>FTLevel II Step Down Unit RNYes</v>
      </c>
      <c r="F39">
        <v>15</v>
      </c>
      <c r="M39" s="5">
        <v>15</v>
      </c>
      <c r="N39" s="5" t="str">
        <f t="shared" si="2"/>
        <v xml:space="preserve"> </v>
      </c>
      <c r="O39" s="5" t="s">
        <v>109</v>
      </c>
      <c r="P39" s="5" t="s">
        <v>109</v>
      </c>
      <c r="Q39" s="5" t="s">
        <v>109</v>
      </c>
      <c r="R39" s="5" t="s">
        <v>109</v>
      </c>
      <c r="S39" s="5" t="s">
        <v>109</v>
      </c>
      <c r="T39" s="5" t="s">
        <v>109</v>
      </c>
      <c r="U39" s="5" t="s">
        <v>109</v>
      </c>
      <c r="V39" s="5" t="s">
        <v>109</v>
      </c>
      <c r="W39" s="5" t="s">
        <v>109</v>
      </c>
      <c r="X39" s="5" t="s">
        <v>109</v>
      </c>
      <c r="Y39" s="5" t="s">
        <v>109</v>
      </c>
      <c r="Z39" s="5" t="s">
        <v>109</v>
      </c>
      <c r="AA39" s="5" t="s">
        <v>109</v>
      </c>
    </row>
    <row r="40" spans="3:29" x14ac:dyDescent="0.25">
      <c r="C40" s="21">
        <v>9</v>
      </c>
      <c r="D40" s="26" t="str">
        <f>$B$3&amp;$D$4&amp;$E$5&amp;$G$5</f>
        <v>FTLevel II Step Down Unit RNNo</v>
      </c>
      <c r="F40">
        <v>15</v>
      </c>
      <c r="M40" s="5">
        <v>16</v>
      </c>
      <c r="N40" s="5"/>
      <c r="O40" s="31" t="s">
        <v>91</v>
      </c>
      <c r="P40" s="31" t="s">
        <v>91</v>
      </c>
      <c r="Q40" s="31" t="s">
        <v>91</v>
      </c>
      <c r="R40" s="31" t="s">
        <v>91</v>
      </c>
      <c r="S40" s="31" t="s">
        <v>91</v>
      </c>
      <c r="T40" s="31" t="s">
        <v>91</v>
      </c>
      <c r="U40" s="31" t="s">
        <v>91</v>
      </c>
      <c r="V40" s="31" t="s">
        <v>91</v>
      </c>
      <c r="W40" s="31" t="s">
        <v>91</v>
      </c>
      <c r="X40" s="31" t="s">
        <v>91</v>
      </c>
      <c r="Y40" s="31" t="s">
        <v>91</v>
      </c>
      <c r="Z40" s="31" t="s">
        <v>91</v>
      </c>
      <c r="AA40" s="31" t="s">
        <v>91</v>
      </c>
    </row>
    <row r="41" spans="3:29" x14ac:dyDescent="0.25">
      <c r="C41" s="21">
        <v>10</v>
      </c>
      <c r="D41" s="26" t="str">
        <f>$B$3&amp;$D$4&amp;$E$6&amp;$G$3</f>
        <v>FTLevel III Spec Unit Staff RN - Hospital NICU -Transport RN</v>
      </c>
      <c r="F41">
        <v>15</v>
      </c>
    </row>
    <row r="42" spans="3:29" ht="14.45" customHeight="1" x14ac:dyDescent="0.25">
      <c r="C42" s="21">
        <v>11</v>
      </c>
      <c r="D42" s="26" t="str">
        <f>$B$3&amp;$D$4&amp;$E$6&amp;$G$4</f>
        <v>FTLevel III Spec Unit Staff RN - Hospital NICU -Transport RNYes</v>
      </c>
      <c r="F42">
        <v>15</v>
      </c>
      <c r="M42" s="138" t="s">
        <v>113</v>
      </c>
      <c r="N42" s="137"/>
      <c r="O42" s="137"/>
      <c r="P42" s="137"/>
      <c r="Q42" s="137"/>
      <c r="R42" s="137"/>
      <c r="S42" s="137"/>
      <c r="T42" s="137"/>
      <c r="U42" s="137"/>
      <c r="V42" s="137"/>
      <c r="W42" s="137"/>
      <c r="X42" s="137"/>
      <c r="Y42" s="137"/>
      <c r="Z42" s="137"/>
      <c r="AA42" s="137"/>
    </row>
    <row r="43" spans="3:29" ht="14.45" customHeight="1" x14ac:dyDescent="0.25">
      <c r="C43" s="21">
        <v>12</v>
      </c>
      <c r="D43" s="26" t="str">
        <f>$B$3&amp;$D$4&amp;$E$6&amp;$G$5</f>
        <v>FTLevel III Spec Unit Staff RN - Hospital NICU -Transport RNNo</v>
      </c>
      <c r="F43">
        <v>15</v>
      </c>
      <c r="M43" s="34"/>
      <c r="N43" s="5"/>
      <c r="O43" s="29">
        <v>-800</v>
      </c>
      <c r="P43" s="29">
        <v>0</v>
      </c>
      <c r="Q43" s="29">
        <v>1600</v>
      </c>
      <c r="R43" s="29">
        <f>Q43*2</f>
        <v>3200</v>
      </c>
      <c r="S43" s="29">
        <f>Q43*3</f>
        <v>4800</v>
      </c>
      <c r="T43" s="29">
        <f>Q43*4</f>
        <v>6400</v>
      </c>
      <c r="U43" s="29">
        <f>Q43*5</f>
        <v>8000</v>
      </c>
      <c r="V43" s="29">
        <f>Q43*6</f>
        <v>9600</v>
      </c>
      <c r="W43" s="29">
        <f>Q43*8</f>
        <v>12800</v>
      </c>
      <c r="X43" s="29">
        <f>Q43*10</f>
        <v>16000</v>
      </c>
      <c r="Y43" s="29">
        <f>Q43*15</f>
        <v>24000</v>
      </c>
      <c r="Z43" s="29">
        <f>Q43*20</f>
        <v>32000</v>
      </c>
      <c r="AA43" s="29">
        <f>Q43*25</f>
        <v>40000</v>
      </c>
    </row>
    <row r="44" spans="3:29" x14ac:dyDescent="0.25">
      <c r="C44" s="21">
        <v>1</v>
      </c>
      <c r="D44" s="26" t="str">
        <f>$B$3&amp;$D$5&amp;$E$3&amp;$G$3</f>
        <v>PT</v>
      </c>
      <c r="F44">
        <v>15</v>
      </c>
      <c r="N44" s="5"/>
      <c r="O44" s="29" t="s">
        <v>89</v>
      </c>
      <c r="P44" s="29" t="s">
        <v>67</v>
      </c>
      <c r="Q44" s="29" t="s">
        <v>68</v>
      </c>
      <c r="R44" s="29" t="s">
        <v>69</v>
      </c>
      <c r="S44" s="29" t="s">
        <v>70</v>
      </c>
      <c r="T44" s="29" t="s">
        <v>71</v>
      </c>
      <c r="U44" s="29" t="s">
        <v>72</v>
      </c>
      <c r="V44" s="29" t="s">
        <v>73</v>
      </c>
      <c r="W44" s="29" t="s">
        <v>74</v>
      </c>
      <c r="X44" s="29" t="s">
        <v>75</v>
      </c>
      <c r="Y44" s="29" t="s">
        <v>76</v>
      </c>
      <c r="Z44" s="29" t="s">
        <v>77</v>
      </c>
      <c r="AA44" s="29" t="s">
        <v>78</v>
      </c>
    </row>
    <row r="45" spans="3:29" x14ac:dyDescent="0.25">
      <c r="C45" s="21">
        <v>2</v>
      </c>
      <c r="D45" s="26" t="str">
        <f>$B$3&amp;$D$5&amp;$E$3&amp;$G$4</f>
        <v>PTYes</v>
      </c>
      <c r="F45">
        <v>15</v>
      </c>
      <c r="M45" s="5">
        <v>1</v>
      </c>
      <c r="N45" s="5" t="str">
        <f t="shared" ref="N45:N59" si="17">N25</f>
        <v>Level II (Inexpd.) (FT/PT)</v>
      </c>
      <c r="O45" s="33">
        <f t="shared" ref="O45:AA45" si="18">O25*1.03</f>
        <v>42.05938050000001</v>
      </c>
      <c r="P45" s="33">
        <f t="shared" si="18"/>
        <v>42.05938050000001</v>
      </c>
      <c r="Q45" s="33">
        <f t="shared" si="18"/>
        <v>42.05938050000001</v>
      </c>
      <c r="R45" s="33">
        <f t="shared" si="18"/>
        <v>42.05938050000001</v>
      </c>
      <c r="S45" s="33">
        <f t="shared" si="18"/>
        <v>42.05938050000001</v>
      </c>
      <c r="T45" s="33">
        <f t="shared" si="18"/>
        <v>42.05938050000001</v>
      </c>
      <c r="U45" s="33">
        <f t="shared" si="18"/>
        <v>42.05938050000001</v>
      </c>
      <c r="V45" s="33">
        <f t="shared" si="18"/>
        <v>42.05938050000001</v>
      </c>
      <c r="W45" s="33">
        <f t="shared" si="18"/>
        <v>42.05938050000001</v>
      </c>
      <c r="X45" s="33">
        <f t="shared" si="18"/>
        <v>42.05938050000001</v>
      </c>
      <c r="Y45" s="33">
        <f t="shared" si="18"/>
        <v>42.05938050000001</v>
      </c>
      <c r="Z45" s="33">
        <f t="shared" si="18"/>
        <v>42.05938050000001</v>
      </c>
      <c r="AA45" s="33">
        <f t="shared" si="18"/>
        <v>42.05938050000001</v>
      </c>
    </row>
    <row r="46" spans="3:29" x14ac:dyDescent="0.25">
      <c r="C46" s="21">
        <v>3</v>
      </c>
      <c r="D46" s="26" t="str">
        <f>$B$3&amp;$D$5&amp;$E$3&amp;$G$5</f>
        <v>PTNo</v>
      </c>
      <c r="F46">
        <v>15</v>
      </c>
      <c r="M46" s="5">
        <v>2</v>
      </c>
      <c r="N46" s="5" t="str">
        <f t="shared" si="17"/>
        <v>Level II (FT/PT)</v>
      </c>
      <c r="O46" s="33">
        <f t="shared" ref="O46:AA46" si="19">O26*1.03</f>
        <v>42.05938050000001</v>
      </c>
      <c r="P46" s="33">
        <f t="shared" si="19"/>
        <v>44.582200700000008</v>
      </c>
      <c r="Q46" s="33">
        <f t="shared" si="19"/>
        <v>48.150007400000007</v>
      </c>
      <c r="R46" s="33">
        <f t="shared" si="19"/>
        <v>50.557189500000007</v>
      </c>
      <c r="S46" s="33">
        <f t="shared" si="19"/>
        <v>53.085314199999999</v>
      </c>
      <c r="T46" s="33">
        <f t="shared" si="19"/>
        <v>55.209235999999997</v>
      </c>
      <c r="U46" s="33">
        <f t="shared" si="19"/>
        <v>57.415908000000002</v>
      </c>
      <c r="V46" s="33">
        <f t="shared" si="19"/>
        <v>59.425252600000007</v>
      </c>
      <c r="W46" s="33">
        <f t="shared" si="19"/>
        <v>61.358212400000006</v>
      </c>
      <c r="X46" s="33">
        <f t="shared" si="19"/>
        <v>63.351643500000009</v>
      </c>
      <c r="Y46" s="33">
        <f t="shared" si="19"/>
        <v>64.998160300000009</v>
      </c>
      <c r="Z46" s="33">
        <f t="shared" si="19"/>
        <v>66.623459100000005</v>
      </c>
      <c r="AA46" s="33">
        <f t="shared" si="19"/>
        <v>68.289072100000013</v>
      </c>
    </row>
    <row r="47" spans="3:29" x14ac:dyDescent="0.25">
      <c r="C47" s="21">
        <v>4</v>
      </c>
      <c r="D47" s="26" t="str">
        <f>$B$3&amp;$D$5&amp;$E$4&amp;$G$3</f>
        <v>PTLevel II Staff RN - Hospital</v>
      </c>
      <c r="F47">
        <v>15</v>
      </c>
      <c r="M47" s="5">
        <v>3</v>
      </c>
      <c r="N47" s="5" t="str">
        <f t="shared" si="17"/>
        <v>Level III (FT/PT)</v>
      </c>
      <c r="O47" s="33">
        <f t="shared" ref="O47:AA47" si="20">O27*1.03</f>
        <v>43.744089699999996</v>
      </c>
      <c r="P47" s="33">
        <f t="shared" si="20"/>
        <v>46.368756300000001</v>
      </c>
      <c r="Q47" s="33">
        <f t="shared" si="20"/>
        <v>50.077662700000012</v>
      </c>
      <c r="R47" s="33">
        <f t="shared" si="20"/>
        <v>52.582447600000002</v>
      </c>
      <c r="S47" s="33">
        <f t="shared" si="20"/>
        <v>55.210296900000003</v>
      </c>
      <c r="T47" s="33">
        <f t="shared" si="20"/>
        <v>57.418029799999999</v>
      </c>
      <c r="U47" s="33">
        <f t="shared" si="20"/>
        <v>59.714878300000002</v>
      </c>
      <c r="V47" s="33">
        <f t="shared" si="20"/>
        <v>61.804851300000003</v>
      </c>
      <c r="W47" s="33">
        <f t="shared" si="20"/>
        <v>63.813135000000003</v>
      </c>
      <c r="X47" s="33">
        <f t="shared" si="20"/>
        <v>65.888255400000006</v>
      </c>
      <c r="Y47" s="33">
        <f t="shared" si="20"/>
        <v>67.601608899999988</v>
      </c>
      <c r="Z47" s="33">
        <f t="shared" si="20"/>
        <v>69.290561699999998</v>
      </c>
      <c r="AA47" s="33">
        <f t="shared" si="20"/>
        <v>71.0240723</v>
      </c>
    </row>
    <row r="48" spans="3:29" x14ac:dyDescent="0.25">
      <c r="C48" s="21">
        <v>5</v>
      </c>
      <c r="D48" s="26" t="str">
        <f>$B$3&amp;$D$5&amp;$E$4&amp;$G$4</f>
        <v>PTLevel II Staff RN - HospitalYes</v>
      </c>
      <c r="F48">
        <v>15</v>
      </c>
      <c r="M48" s="5">
        <v>4</v>
      </c>
      <c r="N48" s="5" t="str">
        <f t="shared" si="17"/>
        <v>Level IV (FT/PT)</v>
      </c>
      <c r="O48" s="33" t="s">
        <v>91</v>
      </c>
      <c r="P48" s="33">
        <f t="shared" ref="P48:AA48" si="21">P28*1.03</f>
        <v>46.812212500000008</v>
      </c>
      <c r="Q48" s="33">
        <f t="shared" si="21"/>
        <v>50.557189500000007</v>
      </c>
      <c r="R48" s="33">
        <f t="shared" si="21"/>
        <v>53.085314199999999</v>
      </c>
      <c r="S48" s="33">
        <f t="shared" si="21"/>
        <v>55.738625100000007</v>
      </c>
      <c r="T48" s="33">
        <f t="shared" si="21"/>
        <v>57.967576000000001</v>
      </c>
      <c r="U48" s="33">
        <f t="shared" si="21"/>
        <v>60.287764299999999</v>
      </c>
      <c r="V48" s="33">
        <f t="shared" si="21"/>
        <v>62.3968335</v>
      </c>
      <c r="W48" s="33">
        <f t="shared" si="21"/>
        <v>64.425274299999998</v>
      </c>
      <c r="X48" s="33">
        <f t="shared" si="21"/>
        <v>66.518430000000009</v>
      </c>
      <c r="Y48" s="33">
        <f t="shared" si="21"/>
        <v>68.248757900000001</v>
      </c>
      <c r="Z48" s="33">
        <f t="shared" si="21"/>
        <v>69.955746000000005</v>
      </c>
      <c r="AA48" s="33">
        <f t="shared" si="21"/>
        <v>71.705170100000004</v>
      </c>
    </row>
    <row r="49" spans="3:27" x14ac:dyDescent="0.25">
      <c r="C49" s="21">
        <v>6</v>
      </c>
      <c r="D49" s="26" t="str">
        <f>$B$3&amp;$D$5&amp;$E$4&amp;$G$5</f>
        <v>PTLevel II Staff RN - HospitalNo</v>
      </c>
      <c r="F49">
        <v>15</v>
      </c>
      <c r="M49" s="5">
        <v>5</v>
      </c>
      <c r="N49" s="5" t="str">
        <f t="shared" si="17"/>
        <v>Level V (FT/PT)</v>
      </c>
      <c r="O49" s="33" t="s">
        <v>91</v>
      </c>
      <c r="P49" s="33">
        <f t="shared" ref="P49:AA49" si="22">P29*1.03</f>
        <v>47.990872400000001</v>
      </c>
      <c r="Q49" s="33">
        <f t="shared" si="22"/>
        <v>51.8302695</v>
      </c>
      <c r="R49" s="33">
        <f t="shared" si="22"/>
        <v>54.4209873</v>
      </c>
      <c r="S49" s="33">
        <f t="shared" si="22"/>
        <v>57.143256700000002</v>
      </c>
      <c r="T49" s="33">
        <f t="shared" si="22"/>
        <v>59.429496200000003</v>
      </c>
      <c r="U49" s="33">
        <f t="shared" si="22"/>
        <v>61.804851300000003</v>
      </c>
      <c r="V49" s="33">
        <f t="shared" si="22"/>
        <v>63.968026400000007</v>
      </c>
      <c r="W49" s="33">
        <f t="shared" si="22"/>
        <v>66.046329500000013</v>
      </c>
      <c r="X49" s="33">
        <f t="shared" si="22"/>
        <v>68.194652000000005</v>
      </c>
      <c r="Y49" s="33">
        <f t="shared" si="22"/>
        <v>69.967415900000006</v>
      </c>
      <c r="Z49" s="33">
        <f t="shared" si="22"/>
        <v>71.716840000000005</v>
      </c>
      <c r="AA49" s="33">
        <f t="shared" si="22"/>
        <v>73.508700100000013</v>
      </c>
    </row>
    <row r="50" spans="3:27" x14ac:dyDescent="0.25">
      <c r="C50" s="21">
        <v>7</v>
      </c>
      <c r="D50" s="26" t="str">
        <f>$B$3&amp;$D$5&amp;$E$5&amp;$G$3</f>
        <v>PTLevel II Step Down Unit RN</v>
      </c>
      <c r="F50">
        <v>15</v>
      </c>
      <c r="M50" s="5">
        <v>6</v>
      </c>
      <c r="N50" s="5" t="str">
        <f t="shared" si="17"/>
        <v>PHN (FT/PT)</v>
      </c>
      <c r="O50" s="33" t="s">
        <v>91</v>
      </c>
      <c r="P50" s="33">
        <f t="shared" ref="P50:AA50" si="23">P30*1.03</f>
        <v>47.990872400000001</v>
      </c>
      <c r="Q50" s="33">
        <f t="shared" si="23"/>
        <v>51.8302695</v>
      </c>
      <c r="R50" s="33">
        <f t="shared" si="23"/>
        <v>54.4209873</v>
      </c>
      <c r="S50" s="33">
        <f t="shared" si="23"/>
        <v>57.143256700000002</v>
      </c>
      <c r="T50" s="33">
        <f t="shared" si="23"/>
        <v>59.429496200000003</v>
      </c>
      <c r="U50" s="33">
        <f t="shared" si="23"/>
        <v>61.804851300000003</v>
      </c>
      <c r="V50" s="33">
        <f t="shared" si="23"/>
        <v>63.968026400000007</v>
      </c>
      <c r="W50" s="33">
        <f t="shared" si="23"/>
        <v>66.047390400000012</v>
      </c>
      <c r="X50" s="33">
        <f t="shared" si="23"/>
        <v>68.194652000000005</v>
      </c>
      <c r="Y50" s="33">
        <f t="shared" si="23"/>
        <v>69.967415900000006</v>
      </c>
      <c r="Z50" s="33">
        <f t="shared" si="23"/>
        <v>71.716840000000005</v>
      </c>
      <c r="AA50" s="33">
        <f t="shared" si="23"/>
        <v>73.508700100000013</v>
      </c>
    </row>
    <row r="51" spans="3:27" x14ac:dyDescent="0.25">
      <c r="C51" s="21">
        <v>8</v>
      </c>
      <c r="D51" s="26" t="str">
        <f>$B$3&amp;$D$5&amp;$E$5&amp;$G$4</f>
        <v>PTLevel II Step Down Unit RNYes</v>
      </c>
      <c r="F51">
        <v>15</v>
      </c>
      <c r="M51" s="5">
        <v>7</v>
      </c>
      <c r="N51" s="5" t="str">
        <f t="shared" si="17"/>
        <v>Sr. PHN (FT/PT)</v>
      </c>
      <c r="O51" s="33" t="s">
        <v>91</v>
      </c>
      <c r="P51" s="33">
        <f t="shared" ref="P51:AA51" si="24">P31*1.03</f>
        <v>50.389567300000003</v>
      </c>
      <c r="Q51" s="33">
        <f t="shared" si="24"/>
        <v>54.4209873</v>
      </c>
      <c r="R51" s="33">
        <f t="shared" si="24"/>
        <v>57.143256700000002</v>
      </c>
      <c r="S51" s="33">
        <f t="shared" si="24"/>
        <v>59.999199499999996</v>
      </c>
      <c r="T51" s="33">
        <f t="shared" si="24"/>
        <v>62.398955300000004</v>
      </c>
      <c r="U51" s="33">
        <f t="shared" si="24"/>
        <v>64.896313899999996</v>
      </c>
      <c r="V51" s="33">
        <f t="shared" si="24"/>
        <v>67.166639900000007</v>
      </c>
      <c r="W51" s="33">
        <f t="shared" si="24"/>
        <v>69.351033000000015</v>
      </c>
      <c r="X51" s="33">
        <f t="shared" si="24"/>
        <v>71.605445500000002</v>
      </c>
      <c r="Y51" s="33">
        <f t="shared" si="24"/>
        <v>73.465203200000005</v>
      </c>
      <c r="Z51" s="33">
        <f t="shared" si="24"/>
        <v>75.302682000000004</v>
      </c>
      <c r="AA51" s="33">
        <f t="shared" si="24"/>
        <v>77.184718600000011</v>
      </c>
    </row>
    <row r="52" spans="3:27" x14ac:dyDescent="0.25">
      <c r="C52" s="21">
        <v>9</v>
      </c>
      <c r="D52" s="26" t="str">
        <f>$B$3&amp;$D$5&amp;$E$5&amp;$G$5</f>
        <v>PTLevel II Step Down Unit RNNo</v>
      </c>
      <c r="F52">
        <v>15</v>
      </c>
      <c r="M52" s="5">
        <v>8</v>
      </c>
      <c r="N52" s="5" t="str">
        <f t="shared" si="17"/>
        <v>Level II (Inexpd.) (PD)</v>
      </c>
      <c r="O52" s="33">
        <f>O32*1.03</f>
        <v>50.471256599999997</v>
      </c>
      <c r="P52" s="33">
        <f t="shared" ref="P52:AA52" si="25">P32*1.03</f>
        <v>50.471256599999997</v>
      </c>
      <c r="Q52" s="33">
        <f t="shared" si="25"/>
        <v>50.471256599999997</v>
      </c>
      <c r="R52" s="33">
        <f t="shared" si="25"/>
        <v>50.471256599999997</v>
      </c>
      <c r="S52" s="33">
        <f t="shared" si="25"/>
        <v>50.471256599999997</v>
      </c>
      <c r="T52" s="33">
        <f t="shared" si="25"/>
        <v>50.471256599999997</v>
      </c>
      <c r="U52" s="33">
        <f t="shared" si="25"/>
        <v>50.471256599999997</v>
      </c>
      <c r="V52" s="33">
        <f t="shared" si="25"/>
        <v>50.471256599999997</v>
      </c>
      <c r="W52" s="33">
        <f t="shared" si="25"/>
        <v>50.471256599999997</v>
      </c>
      <c r="X52" s="33">
        <f t="shared" si="25"/>
        <v>50.471256599999997</v>
      </c>
      <c r="Y52" s="33">
        <f t="shared" si="25"/>
        <v>50.471256599999997</v>
      </c>
      <c r="Z52" s="33">
        <f t="shared" si="25"/>
        <v>50.471256599999997</v>
      </c>
      <c r="AA52" s="33">
        <f t="shared" si="25"/>
        <v>50.471256599999997</v>
      </c>
    </row>
    <row r="53" spans="3:27" x14ac:dyDescent="0.25">
      <c r="C53" s="21">
        <v>10</v>
      </c>
      <c r="D53" s="26" t="str">
        <f>$B$3&amp;$D$5&amp;$E$6&amp;$G$3</f>
        <v>PTLevel III Spec Unit Staff RN - Hospital NICU -Transport RN</v>
      </c>
      <c r="F53">
        <v>15</v>
      </c>
      <c r="M53" s="5">
        <v>9</v>
      </c>
      <c r="N53" s="5" t="str">
        <f t="shared" si="17"/>
        <v>Level II (PD)</v>
      </c>
      <c r="O53" s="33">
        <f t="shared" ref="O53:AA54" si="26">O33*1.03</f>
        <v>50.471256599999997</v>
      </c>
      <c r="P53" s="33">
        <f t="shared" si="26"/>
        <v>53.499065200000004</v>
      </c>
      <c r="Q53" s="33">
        <f t="shared" si="26"/>
        <v>57.779796700000006</v>
      </c>
      <c r="R53" s="33">
        <f t="shared" si="26"/>
        <v>60.668627400000005</v>
      </c>
      <c r="S53" s="33">
        <f t="shared" si="26"/>
        <v>63.702801400000006</v>
      </c>
      <c r="T53" s="33">
        <f t="shared" si="26"/>
        <v>66.251083199999997</v>
      </c>
      <c r="U53" s="33">
        <f t="shared" si="26"/>
        <v>68.899089599999996</v>
      </c>
      <c r="V53" s="33">
        <f t="shared" si="26"/>
        <v>71.310515299999992</v>
      </c>
      <c r="W53" s="33">
        <f t="shared" si="26"/>
        <v>73.629642700000019</v>
      </c>
      <c r="X53" s="33">
        <f t="shared" si="26"/>
        <v>76.021972200000008</v>
      </c>
      <c r="Y53" s="33">
        <f t="shared" si="26"/>
        <v>77.997368000000009</v>
      </c>
      <c r="Z53" s="33">
        <f t="shared" si="26"/>
        <v>79.948363100000009</v>
      </c>
      <c r="AA53" s="33">
        <f t="shared" si="26"/>
        <v>81.947098699999998</v>
      </c>
    </row>
    <row r="54" spans="3:27" x14ac:dyDescent="0.25">
      <c r="C54" s="21">
        <v>11</v>
      </c>
      <c r="D54" s="26" t="str">
        <f>$B$3&amp;$D$5&amp;$E$6&amp;$G$4</f>
        <v>PTLevel III Spec Unit Staff RN - Hospital NICU -Transport RNYes</v>
      </c>
      <c r="F54">
        <v>15</v>
      </c>
      <c r="M54" s="5">
        <v>10</v>
      </c>
      <c r="N54" s="5" t="str">
        <f t="shared" si="17"/>
        <v>Level III (PD)</v>
      </c>
      <c r="O54" s="33">
        <f t="shared" si="26"/>
        <v>52.493332000000002</v>
      </c>
      <c r="P54" s="33">
        <f t="shared" si="26"/>
        <v>55.642083200000002</v>
      </c>
      <c r="Q54" s="33">
        <f t="shared" si="26"/>
        <v>60.093619599999997</v>
      </c>
      <c r="R54" s="33">
        <f t="shared" si="26"/>
        <v>63.099149300000001</v>
      </c>
      <c r="S54" s="33">
        <f t="shared" si="26"/>
        <v>66.252144099999995</v>
      </c>
      <c r="T54" s="33">
        <f t="shared" si="26"/>
        <v>68.901211399999994</v>
      </c>
      <c r="U54" s="33">
        <f t="shared" si="26"/>
        <v>71.6574296</v>
      </c>
      <c r="V54" s="33">
        <f t="shared" si="26"/>
        <v>74.165397200000001</v>
      </c>
      <c r="W54" s="33">
        <f t="shared" si="26"/>
        <v>76.575762000000012</v>
      </c>
      <c r="X54" s="33">
        <f t="shared" si="26"/>
        <v>79.065694300000004</v>
      </c>
      <c r="Y54" s="33">
        <f t="shared" si="26"/>
        <v>81.1217185</v>
      </c>
      <c r="Z54" s="33">
        <f t="shared" si="26"/>
        <v>83.149098400000014</v>
      </c>
      <c r="AA54" s="33">
        <f t="shared" si="26"/>
        <v>85.228462400000012</v>
      </c>
    </row>
    <row r="55" spans="3:27" x14ac:dyDescent="0.25">
      <c r="C55" s="21">
        <v>12</v>
      </c>
      <c r="D55" s="26" t="str">
        <f>$B$3&amp;$D$5&amp;$E$6&amp;$G$5</f>
        <v>PTLevel III Spec Unit Staff RN - Hospital NICU -Transport RNNo</v>
      </c>
      <c r="F55">
        <v>15</v>
      </c>
      <c r="M55" s="5">
        <v>11</v>
      </c>
      <c r="N55" s="5" t="str">
        <f t="shared" si="17"/>
        <v>Level IV (PD)</v>
      </c>
      <c r="O55" s="33" t="s">
        <v>91</v>
      </c>
      <c r="P55" s="33">
        <f t="shared" ref="P55:AA55" si="27">P35*1.03</f>
        <v>56.174655000000008</v>
      </c>
      <c r="Q55" s="33">
        <f t="shared" si="27"/>
        <v>60.668627400000005</v>
      </c>
      <c r="R55" s="33">
        <f t="shared" si="27"/>
        <v>63.702801400000006</v>
      </c>
      <c r="S55" s="33">
        <f t="shared" si="27"/>
        <v>66.886562300000008</v>
      </c>
      <c r="T55" s="33">
        <f t="shared" si="27"/>
        <v>69.561091199999993</v>
      </c>
      <c r="U55" s="33">
        <f t="shared" si="27"/>
        <v>72.344892799999997</v>
      </c>
      <c r="V55" s="33">
        <f t="shared" si="27"/>
        <v>74.8762002</v>
      </c>
      <c r="W55" s="33">
        <f t="shared" si="27"/>
        <v>77.309904799999998</v>
      </c>
      <c r="X55" s="33">
        <f t="shared" si="27"/>
        <v>79.822115999999994</v>
      </c>
      <c r="Y55" s="33">
        <f t="shared" si="27"/>
        <v>81.89829730000001</v>
      </c>
      <c r="Z55" s="33">
        <f t="shared" si="27"/>
        <v>83.9468952</v>
      </c>
      <c r="AA55" s="33">
        <f t="shared" si="27"/>
        <v>86.046416300000004</v>
      </c>
    </row>
    <row r="56" spans="3:27" x14ac:dyDescent="0.25">
      <c r="C56" s="21">
        <v>1</v>
      </c>
      <c r="D56" s="26" t="str">
        <f>$B$3&amp;$D$6&amp;$E$3&amp;$G$3</f>
        <v>PD</v>
      </c>
      <c r="F56">
        <v>15</v>
      </c>
      <c r="M56" s="5">
        <v>12</v>
      </c>
      <c r="N56" s="5" t="str">
        <f t="shared" si="17"/>
        <v>Level V (PD)</v>
      </c>
      <c r="O56" s="33" t="s">
        <v>91</v>
      </c>
      <c r="P56" s="33">
        <f t="shared" ref="P56:AA56" si="28">P36*1.03</f>
        <v>57.5888347</v>
      </c>
      <c r="Q56" s="33">
        <f t="shared" si="28"/>
        <v>62.196323400000004</v>
      </c>
      <c r="R56" s="33">
        <f t="shared" si="28"/>
        <v>65.304760399999992</v>
      </c>
      <c r="S56" s="33">
        <f t="shared" si="28"/>
        <v>68.572332400000008</v>
      </c>
      <c r="T56" s="33">
        <f t="shared" si="28"/>
        <v>71.3158198</v>
      </c>
      <c r="U56" s="33">
        <f t="shared" si="28"/>
        <v>74.165397200000001</v>
      </c>
      <c r="V56" s="33">
        <f t="shared" si="28"/>
        <v>76.761419500000017</v>
      </c>
      <c r="W56" s="33">
        <f t="shared" si="28"/>
        <v>79.255595400000004</v>
      </c>
      <c r="X56" s="33">
        <f t="shared" si="28"/>
        <v>81.833582399999997</v>
      </c>
      <c r="Y56" s="33">
        <f t="shared" si="28"/>
        <v>83.960686899999999</v>
      </c>
      <c r="Z56" s="33">
        <f t="shared" si="28"/>
        <v>86.060208000000003</v>
      </c>
      <c r="AA56" s="33">
        <f t="shared" si="28"/>
        <v>88.210652300000007</v>
      </c>
    </row>
    <row r="57" spans="3:27" x14ac:dyDescent="0.25">
      <c r="C57" s="21">
        <v>2</v>
      </c>
      <c r="D57" s="26" t="str">
        <f>$B$3&amp;$D$6&amp;$E$3&amp;$G$4</f>
        <v>PDYes</v>
      </c>
      <c r="F57">
        <v>15</v>
      </c>
      <c r="M57" s="5">
        <v>13</v>
      </c>
      <c r="N57" s="5" t="str">
        <f t="shared" si="17"/>
        <v>PHN (PD)</v>
      </c>
      <c r="O57" s="33" t="s">
        <v>91</v>
      </c>
      <c r="P57" s="33">
        <f t="shared" ref="P57:AA57" si="29">P37*1.03</f>
        <v>57.5888347</v>
      </c>
      <c r="Q57" s="33">
        <f t="shared" si="29"/>
        <v>62.196323400000004</v>
      </c>
      <c r="R57" s="33">
        <f t="shared" si="29"/>
        <v>65.304760399999992</v>
      </c>
      <c r="S57" s="33">
        <f t="shared" si="29"/>
        <v>68.572332400000008</v>
      </c>
      <c r="T57" s="33">
        <f t="shared" si="29"/>
        <v>71.3158198</v>
      </c>
      <c r="U57" s="33">
        <f t="shared" si="29"/>
        <v>74.165397200000001</v>
      </c>
      <c r="V57" s="33">
        <f t="shared" si="29"/>
        <v>76.761419500000017</v>
      </c>
      <c r="W57" s="33">
        <f t="shared" si="29"/>
        <v>79.256656299999989</v>
      </c>
      <c r="X57" s="33">
        <f t="shared" si="29"/>
        <v>81.833582399999997</v>
      </c>
      <c r="Y57" s="33">
        <f t="shared" si="29"/>
        <v>83.960686899999999</v>
      </c>
      <c r="Z57" s="33">
        <f t="shared" si="29"/>
        <v>86.060208000000003</v>
      </c>
      <c r="AA57" s="33">
        <f t="shared" si="29"/>
        <v>88.210652300000007</v>
      </c>
    </row>
    <row r="58" spans="3:27" x14ac:dyDescent="0.25">
      <c r="C58" s="21">
        <v>3</v>
      </c>
      <c r="D58" s="26" t="str">
        <f>$B$3&amp;$D$6&amp;$E$3&amp;$G$5</f>
        <v>PDNo</v>
      </c>
      <c r="F58">
        <v>15</v>
      </c>
      <c r="M58" s="5">
        <v>14</v>
      </c>
      <c r="N58" s="5" t="str">
        <f t="shared" si="17"/>
        <v>Sr. PHN (PD)</v>
      </c>
      <c r="O58" s="33" t="s">
        <v>91</v>
      </c>
      <c r="P58" s="33">
        <f t="shared" ref="P58:AA58" si="30">P38*1.03</f>
        <v>60.467056400000004</v>
      </c>
      <c r="Q58" s="33">
        <f t="shared" si="30"/>
        <v>65.304760399999992</v>
      </c>
      <c r="R58" s="33">
        <f t="shared" si="30"/>
        <v>68.572332400000008</v>
      </c>
      <c r="S58" s="33">
        <f t="shared" si="30"/>
        <v>71.999039400000001</v>
      </c>
      <c r="T58" s="33">
        <f t="shared" si="30"/>
        <v>74.878321999999997</v>
      </c>
      <c r="U58" s="33">
        <f t="shared" si="30"/>
        <v>77.875364500000003</v>
      </c>
      <c r="V58" s="33">
        <f t="shared" si="30"/>
        <v>80.599755700000003</v>
      </c>
      <c r="W58" s="33">
        <f t="shared" si="30"/>
        <v>83.221239600000004</v>
      </c>
      <c r="X58" s="33">
        <f t="shared" si="30"/>
        <v>85.926534600000011</v>
      </c>
      <c r="Y58" s="33">
        <f t="shared" si="30"/>
        <v>88.158668200000008</v>
      </c>
      <c r="Z58" s="33">
        <f t="shared" si="30"/>
        <v>90.363218399999994</v>
      </c>
      <c r="AA58" s="33">
        <f t="shared" si="30"/>
        <v>92.621874500000018</v>
      </c>
    </row>
    <row r="59" spans="3:27" x14ac:dyDescent="0.25">
      <c r="C59" s="21">
        <v>4</v>
      </c>
      <c r="D59" s="26" t="str">
        <f>$B$3&amp;$D$6&amp;$E$4&amp;$G$3</f>
        <v>PDLevel II Staff RN - Hospital</v>
      </c>
      <c r="F59">
        <v>15</v>
      </c>
      <c r="M59" s="5">
        <v>15</v>
      </c>
      <c r="N59" s="5" t="str">
        <f t="shared" si="17"/>
        <v xml:space="preserve"> </v>
      </c>
      <c r="O59" s="5" t="s">
        <v>109</v>
      </c>
      <c r="P59" s="5" t="s">
        <v>109</v>
      </c>
      <c r="Q59" s="92"/>
      <c r="R59" s="92"/>
      <c r="S59" s="92"/>
      <c r="T59" s="92"/>
      <c r="U59" s="92"/>
      <c r="V59" s="92"/>
      <c r="W59" s="92"/>
      <c r="X59" s="92"/>
      <c r="Y59" s="92"/>
      <c r="Z59" s="92"/>
      <c r="AA59" s="92"/>
    </row>
    <row r="60" spans="3:27" x14ac:dyDescent="0.25">
      <c r="C60" s="21">
        <v>5</v>
      </c>
      <c r="D60" s="26" t="str">
        <f>$B$3&amp;$D$6&amp;$E$4&amp;$G$4</f>
        <v>PDLevel II Staff RN - HospitalYes</v>
      </c>
      <c r="F60">
        <v>15</v>
      </c>
      <c r="M60" s="5">
        <v>16</v>
      </c>
      <c r="N60" s="5"/>
      <c r="O60" s="31" t="s">
        <v>91</v>
      </c>
      <c r="P60" s="31" t="s">
        <v>91</v>
      </c>
      <c r="Q60" s="31" t="s">
        <v>91</v>
      </c>
      <c r="R60" s="31" t="s">
        <v>91</v>
      </c>
      <c r="S60" s="31" t="s">
        <v>91</v>
      </c>
      <c r="T60" s="31" t="s">
        <v>91</v>
      </c>
      <c r="U60" s="31" t="s">
        <v>91</v>
      </c>
      <c r="V60" s="31" t="s">
        <v>91</v>
      </c>
      <c r="W60" s="31" t="s">
        <v>91</v>
      </c>
      <c r="X60" s="31" t="s">
        <v>91</v>
      </c>
      <c r="Y60" s="31" t="s">
        <v>91</v>
      </c>
      <c r="Z60" s="31" t="s">
        <v>91</v>
      </c>
      <c r="AA60" s="31" t="s">
        <v>91</v>
      </c>
    </row>
    <row r="61" spans="3:27" x14ac:dyDescent="0.25">
      <c r="C61" s="21">
        <v>6</v>
      </c>
      <c r="D61" s="26" t="str">
        <f>$B$3&amp;$D$6&amp;$E$4&amp;$G$5</f>
        <v>PDLevel II Staff RN - HospitalNo</v>
      </c>
      <c r="F61">
        <v>15</v>
      </c>
    </row>
    <row r="62" spans="3:27" x14ac:dyDescent="0.25">
      <c r="C62" s="21">
        <v>7</v>
      </c>
      <c r="D62" s="26" t="str">
        <f>$B$3&amp;$D$6&amp;$E$5&amp;$G$3</f>
        <v>PDLevel II Step Down Unit RN</v>
      </c>
      <c r="F62">
        <v>15</v>
      </c>
    </row>
    <row r="63" spans="3:27" ht="14.45" customHeight="1" x14ac:dyDescent="0.25">
      <c r="C63" s="21">
        <v>8</v>
      </c>
      <c r="D63" s="26" t="str">
        <f>$B$3&amp;$D$6&amp;$E$5&amp;$G$4</f>
        <v>PDLevel II Step Down Unit RNYes</v>
      </c>
      <c r="F63">
        <v>15</v>
      </c>
      <c r="N63" s="138" t="s">
        <v>192</v>
      </c>
      <c r="O63" s="137"/>
      <c r="P63" s="137"/>
      <c r="Q63" s="137"/>
      <c r="R63" s="137"/>
      <c r="S63" s="137"/>
      <c r="T63" s="137"/>
      <c r="U63" s="137"/>
      <c r="V63" s="137"/>
      <c r="W63" s="137"/>
      <c r="X63" s="137"/>
      <c r="Y63" s="137"/>
      <c r="Z63" s="137"/>
      <c r="AA63" s="137"/>
    </row>
    <row r="64" spans="3:27" x14ac:dyDescent="0.25">
      <c r="C64" s="21">
        <v>9</v>
      </c>
      <c r="D64" s="26" t="str">
        <f>$B$3&amp;$D$6&amp;$E$5&amp;$G$5</f>
        <v>PDLevel II Step Down Unit RNNo</v>
      </c>
      <c r="F64">
        <v>15</v>
      </c>
      <c r="N64" s="5"/>
      <c r="O64" s="29">
        <v>-800</v>
      </c>
      <c r="P64" s="29">
        <v>0</v>
      </c>
      <c r="Q64" s="29">
        <v>1600</v>
      </c>
      <c r="R64" s="29">
        <f>Q64*2</f>
        <v>3200</v>
      </c>
      <c r="S64" s="29">
        <f>Q64*3</f>
        <v>4800</v>
      </c>
      <c r="T64" s="29">
        <f>Q64*4</f>
        <v>6400</v>
      </c>
      <c r="U64" s="29">
        <f>Q64*5</f>
        <v>8000</v>
      </c>
      <c r="V64" s="29">
        <f>Q64*6</f>
        <v>9600</v>
      </c>
      <c r="W64" s="29">
        <f>Q64*8</f>
        <v>12800</v>
      </c>
      <c r="X64" s="29">
        <f>Q64*10</f>
        <v>16000</v>
      </c>
      <c r="Y64" s="29">
        <f>Q64*15</f>
        <v>24000</v>
      </c>
      <c r="Z64" s="29">
        <f>Q64*20</f>
        <v>32000</v>
      </c>
      <c r="AA64" s="29">
        <f>Q64*25</f>
        <v>40000</v>
      </c>
    </row>
    <row r="65" spans="3:44" x14ac:dyDescent="0.25">
      <c r="C65" s="21">
        <v>10</v>
      </c>
      <c r="D65" s="26" t="str">
        <f>$B$3&amp;$D$6&amp;$E$6&amp;$G$3</f>
        <v>PDLevel III Spec Unit Staff RN - Hospital NICU -Transport RN</v>
      </c>
      <c r="F65">
        <v>15</v>
      </c>
      <c r="N65" s="5"/>
      <c r="O65" s="29" t="s">
        <v>89</v>
      </c>
      <c r="P65" s="29" t="s">
        <v>67</v>
      </c>
      <c r="Q65" s="29" t="s">
        <v>68</v>
      </c>
      <c r="R65" s="29" t="s">
        <v>69</v>
      </c>
      <c r="S65" s="29" t="s">
        <v>70</v>
      </c>
      <c r="T65" s="29" t="s">
        <v>71</v>
      </c>
      <c r="U65" s="29" t="s">
        <v>72</v>
      </c>
      <c r="V65" s="29" t="s">
        <v>73</v>
      </c>
      <c r="W65" s="29" t="s">
        <v>74</v>
      </c>
      <c r="X65" s="29" t="s">
        <v>75</v>
      </c>
      <c r="Y65" s="29" t="s">
        <v>76</v>
      </c>
      <c r="Z65" s="29" t="s">
        <v>77</v>
      </c>
      <c r="AA65" s="29" t="s">
        <v>78</v>
      </c>
    </row>
    <row r="66" spans="3:44" x14ac:dyDescent="0.25">
      <c r="C66" s="21">
        <v>11</v>
      </c>
      <c r="D66" s="26" t="str">
        <f>$B$3&amp;$D$6&amp;$E$6&amp;$G$4</f>
        <v>PDLevel III Spec Unit Staff RN - Hospital NICU -Transport RNYes</v>
      </c>
      <c r="F66">
        <v>15</v>
      </c>
      <c r="M66" s="5">
        <v>1</v>
      </c>
      <c r="N66" s="5" t="str">
        <f t="shared" ref="N66:N80" si="31">N45</f>
        <v>Level II (Inexpd.) (FT/PT)</v>
      </c>
      <c r="O66" s="33">
        <f>O45*1.04</f>
        <v>43.741755720000015</v>
      </c>
      <c r="P66" s="33">
        <f t="shared" ref="P66:AA66" si="32">P45*1.04</f>
        <v>43.741755720000015</v>
      </c>
      <c r="Q66" s="33">
        <f t="shared" si="32"/>
        <v>43.741755720000015</v>
      </c>
      <c r="R66" s="33">
        <f t="shared" si="32"/>
        <v>43.741755720000015</v>
      </c>
      <c r="S66" s="33">
        <f t="shared" si="32"/>
        <v>43.741755720000015</v>
      </c>
      <c r="T66" s="33">
        <f t="shared" si="32"/>
        <v>43.741755720000015</v>
      </c>
      <c r="U66" s="33">
        <f t="shared" si="32"/>
        <v>43.741755720000015</v>
      </c>
      <c r="V66" s="33">
        <f t="shared" si="32"/>
        <v>43.741755720000015</v>
      </c>
      <c r="W66" s="33">
        <f t="shared" si="32"/>
        <v>43.741755720000015</v>
      </c>
      <c r="X66" s="33">
        <f t="shared" si="32"/>
        <v>43.741755720000015</v>
      </c>
      <c r="Y66" s="33">
        <f t="shared" si="32"/>
        <v>43.741755720000015</v>
      </c>
      <c r="Z66" s="33">
        <f t="shared" si="32"/>
        <v>43.741755720000015</v>
      </c>
      <c r="AA66" s="33">
        <f t="shared" si="32"/>
        <v>43.741755720000015</v>
      </c>
      <c r="AB66" s="33">
        <f>(O66-O45)/O45</f>
        <v>4.0000000000000098E-2</v>
      </c>
      <c r="AC66" s="33">
        <f t="shared" ref="AC66:AO79" si="33">(P66-P45)/P45</f>
        <v>4.0000000000000098E-2</v>
      </c>
      <c r="AD66" s="33">
        <f t="shared" si="33"/>
        <v>4.0000000000000098E-2</v>
      </c>
      <c r="AE66" s="33">
        <f t="shared" si="33"/>
        <v>4.0000000000000098E-2</v>
      </c>
      <c r="AF66" s="33">
        <f t="shared" si="33"/>
        <v>4.0000000000000098E-2</v>
      </c>
      <c r="AG66" s="33">
        <f t="shared" si="33"/>
        <v>4.0000000000000098E-2</v>
      </c>
      <c r="AH66" s="33">
        <f t="shared" si="33"/>
        <v>4.0000000000000098E-2</v>
      </c>
      <c r="AI66" s="33">
        <f t="shared" si="33"/>
        <v>4.0000000000000098E-2</v>
      </c>
      <c r="AJ66" s="33">
        <f t="shared" si="33"/>
        <v>4.0000000000000098E-2</v>
      </c>
      <c r="AK66" s="33">
        <f t="shared" si="33"/>
        <v>4.0000000000000098E-2</v>
      </c>
      <c r="AL66" s="33">
        <f t="shared" si="33"/>
        <v>4.0000000000000098E-2</v>
      </c>
      <c r="AM66" s="33">
        <f t="shared" si="33"/>
        <v>4.0000000000000098E-2</v>
      </c>
      <c r="AN66" s="33">
        <f t="shared" si="33"/>
        <v>4.0000000000000098E-2</v>
      </c>
      <c r="AO66" s="33" t="e">
        <f t="shared" si="33"/>
        <v>#DIV/0!</v>
      </c>
      <c r="AP66" s="33" t="e">
        <f t="shared" ref="AP66" si="34">(AC66-AC45)/AC45</f>
        <v>#DIV/0!</v>
      </c>
      <c r="AQ66" s="33" t="e">
        <f t="shared" ref="AQ66" si="35">(AD66-AD45)/AD45</f>
        <v>#DIV/0!</v>
      </c>
      <c r="AR66" s="33" t="e">
        <f t="shared" ref="AR66" si="36">(AE66-AE45)/AE45</f>
        <v>#DIV/0!</v>
      </c>
    </row>
    <row r="67" spans="3:44" x14ac:dyDescent="0.25">
      <c r="C67" s="21">
        <v>12</v>
      </c>
      <c r="D67" s="26" t="str">
        <f>$B$3&amp;$D$6&amp;$E$6&amp;$G$5</f>
        <v>PDLevel III Spec Unit Staff RN - Hospital NICU -Transport RNNo</v>
      </c>
      <c r="F67">
        <v>15</v>
      </c>
      <c r="M67" s="5">
        <v>2</v>
      </c>
      <c r="N67" s="5" t="str">
        <f t="shared" si="31"/>
        <v>Level II (FT/PT)</v>
      </c>
      <c r="O67" s="33">
        <f>O46*1.04</f>
        <v>43.741755720000015</v>
      </c>
      <c r="P67" s="33">
        <f t="shared" ref="P67:AA67" si="37">P46*1.04</f>
        <v>46.36548872800001</v>
      </c>
      <c r="Q67" s="33">
        <f t="shared" si="37"/>
        <v>50.076007696000012</v>
      </c>
      <c r="R67" s="33">
        <f t="shared" si="37"/>
        <v>52.579477080000011</v>
      </c>
      <c r="S67" s="33">
        <f t="shared" si="37"/>
        <v>55.208726767999998</v>
      </c>
      <c r="T67" s="33">
        <f t="shared" si="37"/>
        <v>57.417605439999996</v>
      </c>
      <c r="U67" s="33">
        <f t="shared" si="37"/>
        <v>59.712544320000006</v>
      </c>
      <c r="V67" s="33">
        <f t="shared" si="37"/>
        <v>61.802262704000007</v>
      </c>
      <c r="W67" s="33">
        <f t="shared" si="37"/>
        <v>63.812540896000009</v>
      </c>
      <c r="X67" s="33">
        <f t="shared" si="37"/>
        <v>65.885709240000011</v>
      </c>
      <c r="Y67" s="33">
        <f t="shared" si="37"/>
        <v>67.598086712000011</v>
      </c>
      <c r="Z67" s="33">
        <f t="shared" si="37"/>
        <v>69.288397464000013</v>
      </c>
      <c r="AA67" s="33">
        <f t="shared" si="37"/>
        <v>71.020634984000012</v>
      </c>
      <c r="AB67" s="33">
        <f t="shared" ref="AB67:AB79" si="38">(O67-O46)/O46</f>
        <v>4.0000000000000098E-2</v>
      </c>
      <c r="AC67" s="33">
        <f t="shared" si="33"/>
        <v>4.0000000000000022E-2</v>
      </c>
      <c r="AD67" s="33">
        <f t="shared" si="33"/>
        <v>4.0000000000000098E-2</v>
      </c>
      <c r="AE67" s="33">
        <f t="shared" si="33"/>
        <v>4.000000000000007E-2</v>
      </c>
      <c r="AF67" s="33">
        <f t="shared" si="33"/>
        <v>3.9999999999999987E-2</v>
      </c>
      <c r="AG67" s="33">
        <f t="shared" si="33"/>
        <v>3.9999999999999973E-2</v>
      </c>
      <c r="AH67" s="33">
        <f t="shared" si="33"/>
        <v>4.0000000000000077E-2</v>
      </c>
      <c r="AI67" s="33">
        <f t="shared" si="33"/>
        <v>3.9999999999999994E-2</v>
      </c>
      <c r="AJ67" s="33">
        <f t="shared" si="33"/>
        <v>4.0000000000000036E-2</v>
      </c>
      <c r="AK67" s="33">
        <f t="shared" si="33"/>
        <v>4.0000000000000036E-2</v>
      </c>
      <c r="AL67" s="33">
        <f t="shared" si="33"/>
        <v>4.0000000000000029E-2</v>
      </c>
      <c r="AM67" s="33">
        <f t="shared" si="33"/>
        <v>4.0000000000000119E-2</v>
      </c>
      <c r="AN67" s="33">
        <f t="shared" si="33"/>
        <v>3.9999999999999973E-2</v>
      </c>
      <c r="AO67" s="33" t="e">
        <f t="shared" si="33"/>
        <v>#DIV/0!</v>
      </c>
    </row>
    <row r="68" spans="3:44" x14ac:dyDescent="0.25">
      <c r="C68" s="21">
        <v>1</v>
      </c>
      <c r="D68" s="26" t="str">
        <f>$B$4&amp;$D$3&amp;$E$3&amp;$G$3</f>
        <v>Level II Staff RN - Hospital (Inexpd.)</v>
      </c>
      <c r="F68">
        <v>15</v>
      </c>
      <c r="M68" s="5">
        <v>3</v>
      </c>
      <c r="N68" s="5" t="str">
        <f t="shared" si="31"/>
        <v>Level III (FT/PT)</v>
      </c>
      <c r="O68" s="33">
        <f>O47*1.04</f>
        <v>45.493853287999997</v>
      </c>
      <c r="P68" s="33">
        <f t="shared" ref="P68:AA68" si="39">P47*1.04</f>
        <v>48.223506552000003</v>
      </c>
      <c r="Q68" s="33">
        <f t="shared" si="39"/>
        <v>52.080769208000014</v>
      </c>
      <c r="R68" s="33">
        <f t="shared" si="39"/>
        <v>54.685745504000003</v>
      </c>
      <c r="S68" s="33">
        <f t="shared" si="39"/>
        <v>57.418708776000003</v>
      </c>
      <c r="T68" s="33">
        <f t="shared" si="39"/>
        <v>59.714750991999999</v>
      </c>
      <c r="U68" s="33">
        <f t="shared" si="39"/>
        <v>62.103473432000001</v>
      </c>
      <c r="V68" s="33">
        <f t="shared" si="39"/>
        <v>64.277045352000002</v>
      </c>
      <c r="W68" s="33">
        <f t="shared" si="39"/>
        <v>66.36566040000001</v>
      </c>
      <c r="X68" s="33">
        <f t="shared" si="39"/>
        <v>68.523785616000012</v>
      </c>
      <c r="Y68" s="33">
        <f t="shared" si="39"/>
        <v>70.305673255999992</v>
      </c>
      <c r="Z68" s="33">
        <f t="shared" si="39"/>
        <v>72.062184168000002</v>
      </c>
      <c r="AA68" s="33">
        <f t="shared" si="39"/>
        <v>73.865035192000008</v>
      </c>
      <c r="AB68" s="33">
        <f t="shared" si="38"/>
        <v>4.0000000000000015E-2</v>
      </c>
      <c r="AC68" s="33">
        <f t="shared" si="33"/>
        <v>4.0000000000000049E-2</v>
      </c>
      <c r="AD68" s="33">
        <f t="shared" si="33"/>
        <v>4.0000000000000029E-2</v>
      </c>
      <c r="AE68" s="33">
        <f t="shared" si="33"/>
        <v>4.0000000000000029E-2</v>
      </c>
      <c r="AF68" s="33">
        <f t="shared" si="33"/>
        <v>3.9999999999999987E-2</v>
      </c>
      <c r="AG68" s="33">
        <f t="shared" si="33"/>
        <v>3.9999999999999994E-2</v>
      </c>
      <c r="AH68" s="33">
        <f t="shared" si="33"/>
        <v>3.999999999999998E-2</v>
      </c>
      <c r="AI68" s="33">
        <f t="shared" si="33"/>
        <v>3.999999999999998E-2</v>
      </c>
      <c r="AJ68" s="33">
        <f t="shared" si="33"/>
        <v>4.0000000000000119E-2</v>
      </c>
      <c r="AK68" s="33">
        <f t="shared" si="33"/>
        <v>4.0000000000000098E-2</v>
      </c>
      <c r="AL68" s="33">
        <f t="shared" si="33"/>
        <v>4.0000000000000056E-2</v>
      </c>
      <c r="AM68" s="33">
        <f t="shared" si="33"/>
        <v>4.0000000000000056E-2</v>
      </c>
      <c r="AN68" s="33">
        <f t="shared" si="33"/>
        <v>4.0000000000000105E-2</v>
      </c>
      <c r="AO68" s="33" t="e">
        <f t="shared" si="33"/>
        <v>#DIV/0!</v>
      </c>
    </row>
    <row r="69" spans="3:44" x14ac:dyDescent="0.25">
      <c r="C69" s="21">
        <v>2</v>
      </c>
      <c r="D69" s="26" t="str">
        <f>$B$4&amp;$D$3&amp;$E$3&amp;$G$4</f>
        <v>Level II Staff RN - Hospital (Inexpd.)Yes</v>
      </c>
      <c r="F69">
        <v>15</v>
      </c>
      <c r="M69" s="5">
        <v>4</v>
      </c>
      <c r="N69" s="5" t="str">
        <f t="shared" si="31"/>
        <v>Level IV (FT/PT)</v>
      </c>
      <c r="O69" s="33" t="s">
        <v>91</v>
      </c>
      <c r="P69" s="33">
        <f>P48*1.04</f>
        <v>48.684701000000011</v>
      </c>
      <c r="Q69" s="33">
        <f t="shared" ref="Q69:AA69" si="40">Q48*1.04</f>
        <v>52.579477080000011</v>
      </c>
      <c r="R69" s="33">
        <f t="shared" si="40"/>
        <v>55.208726767999998</v>
      </c>
      <c r="S69" s="33">
        <f t="shared" si="40"/>
        <v>57.968170104000009</v>
      </c>
      <c r="T69" s="33">
        <f t="shared" si="40"/>
        <v>60.286279040000004</v>
      </c>
      <c r="U69" s="33">
        <f t="shared" si="40"/>
        <v>62.699274872000004</v>
      </c>
      <c r="V69" s="33">
        <f t="shared" si="40"/>
        <v>64.892706840000002</v>
      </c>
      <c r="W69" s="33">
        <f t="shared" si="40"/>
        <v>67.002285271999995</v>
      </c>
      <c r="X69" s="33">
        <f t="shared" si="40"/>
        <v>69.179167200000009</v>
      </c>
      <c r="Y69" s="33">
        <f t="shared" si="40"/>
        <v>70.978708216000001</v>
      </c>
      <c r="Z69" s="33">
        <f t="shared" si="40"/>
        <v>72.75397584000001</v>
      </c>
      <c r="AA69" s="33">
        <f t="shared" si="40"/>
        <v>74.573376904</v>
      </c>
      <c r="AB69" s="33" t="e">
        <f t="shared" si="38"/>
        <v>#VALUE!</v>
      </c>
      <c r="AC69" s="33">
        <f t="shared" si="33"/>
        <v>4.0000000000000056E-2</v>
      </c>
      <c r="AD69" s="33">
        <f t="shared" si="33"/>
        <v>4.000000000000007E-2</v>
      </c>
      <c r="AE69" s="33">
        <f t="shared" si="33"/>
        <v>3.9999999999999987E-2</v>
      </c>
      <c r="AF69" s="33">
        <f t="shared" si="33"/>
        <v>4.0000000000000029E-2</v>
      </c>
      <c r="AG69" s="33">
        <f t="shared" si="33"/>
        <v>4.0000000000000042E-2</v>
      </c>
      <c r="AH69" s="33">
        <f t="shared" si="33"/>
        <v>4.0000000000000077E-2</v>
      </c>
      <c r="AI69" s="33">
        <f t="shared" si="33"/>
        <v>4.0000000000000042E-2</v>
      </c>
      <c r="AJ69" s="33">
        <f t="shared" si="33"/>
        <v>3.9999999999999945E-2</v>
      </c>
      <c r="AK69" s="33">
        <f t="shared" si="33"/>
        <v>3.9999999999999994E-2</v>
      </c>
      <c r="AL69" s="33">
        <f t="shared" si="33"/>
        <v>0.04</v>
      </c>
      <c r="AM69" s="33">
        <f t="shared" si="33"/>
        <v>4.0000000000000063E-2</v>
      </c>
      <c r="AN69" s="33">
        <f t="shared" si="33"/>
        <v>3.9999999999999945E-2</v>
      </c>
      <c r="AO69" s="33" t="e">
        <f t="shared" si="33"/>
        <v>#VALUE!</v>
      </c>
    </row>
    <row r="70" spans="3:44" x14ac:dyDescent="0.25">
      <c r="C70" s="21">
        <v>3</v>
      </c>
      <c r="D70" s="26" t="str">
        <f>$B$4&amp;$D$3&amp;$E$3&amp;$G$5</f>
        <v>Level II Staff RN - Hospital (Inexpd.)No</v>
      </c>
      <c r="F70">
        <v>15</v>
      </c>
      <c r="M70" s="5">
        <v>5</v>
      </c>
      <c r="N70" s="5" t="str">
        <f t="shared" si="31"/>
        <v>Level V (FT/PT)</v>
      </c>
      <c r="O70" s="33" t="s">
        <v>91</v>
      </c>
      <c r="P70" s="33">
        <f t="shared" ref="P70:AA79" si="41">P49*1.04</f>
        <v>49.910507296000006</v>
      </c>
      <c r="Q70" s="33">
        <f t="shared" si="41"/>
        <v>53.903480280000004</v>
      </c>
      <c r="R70" s="33">
        <f t="shared" si="41"/>
        <v>56.597826791999999</v>
      </c>
      <c r="S70" s="33">
        <f t="shared" si="41"/>
        <v>59.428986968000004</v>
      </c>
      <c r="T70" s="33">
        <f t="shared" si="41"/>
        <v>61.806676048000007</v>
      </c>
      <c r="U70" s="33">
        <f t="shared" si="41"/>
        <v>64.277045352000002</v>
      </c>
      <c r="V70" s="33">
        <f t="shared" si="41"/>
        <v>66.52674745600001</v>
      </c>
      <c r="W70" s="33">
        <f t="shared" si="41"/>
        <v>68.688182680000011</v>
      </c>
      <c r="X70" s="33">
        <f t="shared" si="41"/>
        <v>70.922438080000006</v>
      </c>
      <c r="Y70" s="33">
        <f t="shared" si="41"/>
        <v>72.766112536000009</v>
      </c>
      <c r="Z70" s="33">
        <f t="shared" si="41"/>
        <v>74.585513600000013</v>
      </c>
      <c r="AA70" s="33">
        <f t="shared" si="41"/>
        <v>76.449048104000013</v>
      </c>
      <c r="AB70" s="33" t="e">
        <f t="shared" si="38"/>
        <v>#VALUE!</v>
      </c>
      <c r="AC70" s="33">
        <f t="shared" si="33"/>
        <v>4.0000000000000105E-2</v>
      </c>
      <c r="AD70" s="33">
        <f t="shared" si="33"/>
        <v>4.000000000000007E-2</v>
      </c>
      <c r="AE70" s="33">
        <f t="shared" si="33"/>
        <v>3.9999999999999987E-2</v>
      </c>
      <c r="AF70" s="33">
        <f t="shared" si="33"/>
        <v>4.0000000000000029E-2</v>
      </c>
      <c r="AG70" s="33">
        <f t="shared" si="33"/>
        <v>4.000000000000007E-2</v>
      </c>
      <c r="AH70" s="33">
        <f t="shared" si="33"/>
        <v>3.999999999999998E-2</v>
      </c>
      <c r="AI70" s="33">
        <f t="shared" si="33"/>
        <v>4.0000000000000042E-2</v>
      </c>
      <c r="AJ70" s="33">
        <f t="shared" si="33"/>
        <v>3.9999999999999966E-2</v>
      </c>
      <c r="AK70" s="33">
        <f t="shared" si="33"/>
        <v>4.0000000000000015E-2</v>
      </c>
      <c r="AL70" s="33">
        <f t="shared" si="33"/>
        <v>4.0000000000000036E-2</v>
      </c>
      <c r="AM70" s="33">
        <f t="shared" si="33"/>
        <v>4.0000000000000112E-2</v>
      </c>
      <c r="AN70" s="33">
        <f t="shared" si="33"/>
        <v>0.04</v>
      </c>
      <c r="AO70" s="33" t="e">
        <f t="shared" si="33"/>
        <v>#VALUE!</v>
      </c>
    </row>
    <row r="71" spans="3:44" x14ac:dyDescent="0.25">
      <c r="C71" s="21">
        <v>4</v>
      </c>
      <c r="D71" s="26" t="str">
        <f>$B$4&amp;$D$3&amp;$E$4&amp;$G$3</f>
        <v>Level II Staff RN - Hospital (Inexpd.)Level II Staff RN - Hospital</v>
      </c>
      <c r="F71">
        <v>15</v>
      </c>
      <c r="M71" s="5">
        <v>6</v>
      </c>
      <c r="N71" s="5" t="str">
        <f t="shared" si="31"/>
        <v>PHN (FT/PT)</v>
      </c>
      <c r="O71" s="33" t="s">
        <v>91</v>
      </c>
      <c r="P71" s="33">
        <f t="shared" si="41"/>
        <v>49.910507296000006</v>
      </c>
      <c r="Q71" s="33">
        <f t="shared" si="41"/>
        <v>53.903480280000004</v>
      </c>
      <c r="R71" s="33">
        <f t="shared" si="41"/>
        <v>56.597826791999999</v>
      </c>
      <c r="S71" s="33">
        <f t="shared" si="41"/>
        <v>59.428986968000004</v>
      </c>
      <c r="T71" s="33">
        <f t="shared" si="41"/>
        <v>61.806676048000007</v>
      </c>
      <c r="U71" s="33">
        <f t="shared" si="41"/>
        <v>64.277045352000002</v>
      </c>
      <c r="V71" s="33">
        <f t="shared" si="41"/>
        <v>66.52674745600001</v>
      </c>
      <c r="W71" s="33">
        <f t="shared" si="41"/>
        <v>68.689286016000011</v>
      </c>
      <c r="X71" s="33">
        <f t="shared" si="41"/>
        <v>70.922438080000006</v>
      </c>
      <c r="Y71" s="33">
        <f t="shared" si="41"/>
        <v>72.766112536000009</v>
      </c>
      <c r="Z71" s="33">
        <f t="shared" si="41"/>
        <v>74.585513600000013</v>
      </c>
      <c r="AA71" s="33">
        <f t="shared" si="41"/>
        <v>76.449048104000013</v>
      </c>
      <c r="AB71" s="33" t="e">
        <f t="shared" si="38"/>
        <v>#VALUE!</v>
      </c>
      <c r="AC71" s="33">
        <f t="shared" si="33"/>
        <v>4.0000000000000105E-2</v>
      </c>
      <c r="AD71" s="33">
        <f t="shared" si="33"/>
        <v>4.000000000000007E-2</v>
      </c>
      <c r="AE71" s="33">
        <f t="shared" si="33"/>
        <v>3.9999999999999987E-2</v>
      </c>
      <c r="AF71" s="33">
        <f t="shared" si="33"/>
        <v>4.0000000000000029E-2</v>
      </c>
      <c r="AG71" s="33">
        <f t="shared" si="33"/>
        <v>4.000000000000007E-2</v>
      </c>
      <c r="AH71" s="33">
        <f t="shared" si="33"/>
        <v>3.999999999999998E-2</v>
      </c>
      <c r="AI71" s="33">
        <f t="shared" si="33"/>
        <v>4.0000000000000042E-2</v>
      </c>
      <c r="AJ71" s="33">
        <f t="shared" si="33"/>
        <v>3.999999999999998E-2</v>
      </c>
      <c r="AK71" s="33">
        <f t="shared" si="33"/>
        <v>4.0000000000000015E-2</v>
      </c>
      <c r="AL71" s="33">
        <f t="shared" si="33"/>
        <v>4.0000000000000036E-2</v>
      </c>
      <c r="AM71" s="33">
        <f t="shared" si="33"/>
        <v>4.0000000000000112E-2</v>
      </c>
      <c r="AN71" s="33">
        <f t="shared" si="33"/>
        <v>0.04</v>
      </c>
      <c r="AO71" s="33" t="e">
        <f t="shared" si="33"/>
        <v>#VALUE!</v>
      </c>
    </row>
    <row r="72" spans="3:44" x14ac:dyDescent="0.25">
      <c r="C72" s="21">
        <v>5</v>
      </c>
      <c r="D72" s="26" t="str">
        <f>$B$4&amp;$D$3&amp;$E$4&amp;$G$4</f>
        <v>Level II Staff RN - Hospital (Inexpd.)Level II Staff RN - HospitalYes</v>
      </c>
      <c r="F72">
        <v>15</v>
      </c>
      <c r="M72" s="5">
        <v>7</v>
      </c>
      <c r="N72" s="5" t="str">
        <f t="shared" si="31"/>
        <v>Sr. PHN (FT/PT)</v>
      </c>
      <c r="O72" s="33" t="s">
        <v>91</v>
      </c>
      <c r="P72" s="33">
        <f t="shared" si="41"/>
        <v>52.405149992000005</v>
      </c>
      <c r="Q72" s="33">
        <f t="shared" si="41"/>
        <v>56.597826791999999</v>
      </c>
      <c r="R72" s="33">
        <f t="shared" si="41"/>
        <v>59.428986968000004</v>
      </c>
      <c r="S72" s="33">
        <f t="shared" si="41"/>
        <v>62.399167479999996</v>
      </c>
      <c r="T72" s="33">
        <f t="shared" si="41"/>
        <v>64.894913512000002</v>
      </c>
      <c r="U72" s="33">
        <f t="shared" si="41"/>
        <v>67.492166455999993</v>
      </c>
      <c r="V72" s="33">
        <f t="shared" si="41"/>
        <v>69.853305496000004</v>
      </c>
      <c r="W72" s="33">
        <f t="shared" si="41"/>
        <v>72.125074320000024</v>
      </c>
      <c r="X72" s="33">
        <f t="shared" si="41"/>
        <v>74.469663320000009</v>
      </c>
      <c r="Y72" s="33">
        <f t="shared" si="41"/>
        <v>76.403811328000003</v>
      </c>
      <c r="Z72" s="33">
        <f t="shared" si="41"/>
        <v>78.314789280000014</v>
      </c>
      <c r="AA72" s="33">
        <f t="shared" si="41"/>
        <v>80.27210734400002</v>
      </c>
      <c r="AB72" s="33" t="e">
        <f t="shared" si="38"/>
        <v>#VALUE!</v>
      </c>
      <c r="AC72" s="33">
        <f t="shared" si="33"/>
        <v>4.0000000000000042E-2</v>
      </c>
      <c r="AD72" s="33">
        <f t="shared" si="33"/>
        <v>3.9999999999999987E-2</v>
      </c>
      <c r="AE72" s="33">
        <f t="shared" si="33"/>
        <v>4.0000000000000029E-2</v>
      </c>
      <c r="AF72" s="33">
        <f t="shared" si="33"/>
        <v>3.9999999999999994E-2</v>
      </c>
      <c r="AG72" s="33">
        <f t="shared" si="33"/>
        <v>3.9999999999999966E-2</v>
      </c>
      <c r="AH72" s="33">
        <f t="shared" si="33"/>
        <v>3.9999999999999959E-2</v>
      </c>
      <c r="AI72" s="33">
        <f t="shared" si="33"/>
        <v>3.9999999999999959E-2</v>
      </c>
      <c r="AJ72" s="33">
        <f t="shared" si="33"/>
        <v>4.0000000000000126E-2</v>
      </c>
      <c r="AK72" s="33">
        <f t="shared" si="33"/>
        <v>4.0000000000000105E-2</v>
      </c>
      <c r="AL72" s="33">
        <f t="shared" si="33"/>
        <v>3.999999999999998E-2</v>
      </c>
      <c r="AM72" s="33">
        <f t="shared" si="33"/>
        <v>4.0000000000000119E-2</v>
      </c>
      <c r="AN72" s="33">
        <f t="shared" si="33"/>
        <v>4.0000000000000112E-2</v>
      </c>
      <c r="AO72" s="33" t="e">
        <f t="shared" si="33"/>
        <v>#VALUE!</v>
      </c>
    </row>
    <row r="73" spans="3:44" x14ac:dyDescent="0.25">
      <c r="C73" s="21">
        <v>6</v>
      </c>
      <c r="D73" s="26" t="str">
        <f>$B$4&amp;$D$3&amp;$E$4&amp;$G$5</f>
        <v>Level II Staff RN - Hospital (Inexpd.)Level II Staff RN - HospitalNo</v>
      </c>
      <c r="F73">
        <v>15</v>
      </c>
      <c r="M73" s="5">
        <v>8</v>
      </c>
      <c r="N73" s="5" t="str">
        <f t="shared" si="31"/>
        <v>Level II (Inexpd.) (PD)</v>
      </c>
      <c r="O73" s="33">
        <f>O52*1.04</f>
        <v>52.490106863999998</v>
      </c>
      <c r="P73" s="33">
        <f t="shared" si="41"/>
        <v>52.490106863999998</v>
      </c>
      <c r="Q73" s="33">
        <f t="shared" si="41"/>
        <v>52.490106863999998</v>
      </c>
      <c r="R73" s="33">
        <f t="shared" si="41"/>
        <v>52.490106863999998</v>
      </c>
      <c r="S73" s="33">
        <f t="shared" si="41"/>
        <v>52.490106863999998</v>
      </c>
      <c r="T73" s="33">
        <f t="shared" si="41"/>
        <v>52.490106863999998</v>
      </c>
      <c r="U73" s="33">
        <f t="shared" si="41"/>
        <v>52.490106863999998</v>
      </c>
      <c r="V73" s="33">
        <f t="shared" si="41"/>
        <v>52.490106863999998</v>
      </c>
      <c r="W73" s="33">
        <f t="shared" si="41"/>
        <v>52.490106863999998</v>
      </c>
      <c r="X73" s="33">
        <f t="shared" si="41"/>
        <v>52.490106863999998</v>
      </c>
      <c r="Y73" s="33">
        <f t="shared" si="41"/>
        <v>52.490106863999998</v>
      </c>
      <c r="Z73" s="33">
        <f t="shared" si="41"/>
        <v>52.490106863999998</v>
      </c>
      <c r="AA73" s="33">
        <f t="shared" si="41"/>
        <v>52.490106863999998</v>
      </c>
      <c r="AB73" s="33">
        <f t="shared" si="38"/>
        <v>4.0000000000000022E-2</v>
      </c>
      <c r="AC73" s="33">
        <f t="shared" si="33"/>
        <v>4.0000000000000022E-2</v>
      </c>
      <c r="AD73" s="33">
        <f t="shared" si="33"/>
        <v>4.0000000000000022E-2</v>
      </c>
      <c r="AE73" s="33">
        <f t="shared" si="33"/>
        <v>4.0000000000000022E-2</v>
      </c>
      <c r="AF73" s="33">
        <f t="shared" si="33"/>
        <v>4.0000000000000022E-2</v>
      </c>
      <c r="AG73" s="33">
        <f t="shared" si="33"/>
        <v>4.0000000000000022E-2</v>
      </c>
      <c r="AH73" s="33">
        <f t="shared" si="33"/>
        <v>4.0000000000000022E-2</v>
      </c>
      <c r="AI73" s="33">
        <f t="shared" si="33"/>
        <v>4.0000000000000022E-2</v>
      </c>
      <c r="AJ73" s="33">
        <f t="shared" si="33"/>
        <v>4.0000000000000022E-2</v>
      </c>
      <c r="AK73" s="33">
        <f t="shared" si="33"/>
        <v>4.0000000000000022E-2</v>
      </c>
      <c r="AL73" s="33">
        <f t="shared" si="33"/>
        <v>4.0000000000000022E-2</v>
      </c>
      <c r="AM73" s="33">
        <f t="shared" si="33"/>
        <v>4.0000000000000022E-2</v>
      </c>
      <c r="AN73" s="33">
        <f t="shared" si="33"/>
        <v>4.0000000000000022E-2</v>
      </c>
      <c r="AO73" s="33" t="e">
        <f t="shared" si="33"/>
        <v>#DIV/0!</v>
      </c>
    </row>
    <row r="74" spans="3:44" x14ac:dyDescent="0.25">
      <c r="C74" s="21">
        <v>7</v>
      </c>
      <c r="D74" s="26" t="str">
        <f>$B$4&amp;$D$3&amp;$E$5&amp;$G$3</f>
        <v>Level II Staff RN - Hospital (Inexpd.)Level II Step Down Unit RN</v>
      </c>
      <c r="F74">
        <v>15</v>
      </c>
      <c r="M74" s="5">
        <v>9</v>
      </c>
      <c r="N74" s="5" t="str">
        <f t="shared" si="31"/>
        <v>Level II (PD)</v>
      </c>
      <c r="O74" s="33">
        <f>O53*1.04</f>
        <v>52.490106863999998</v>
      </c>
      <c r="P74" s="33">
        <f t="shared" si="41"/>
        <v>55.639027808000009</v>
      </c>
      <c r="Q74" s="33">
        <f t="shared" si="41"/>
        <v>60.090988568000007</v>
      </c>
      <c r="R74" s="33">
        <f t="shared" si="41"/>
        <v>63.09537249600001</v>
      </c>
      <c r="S74" s="33">
        <f t="shared" si="41"/>
        <v>66.250913456000006</v>
      </c>
      <c r="T74" s="33">
        <f t="shared" si="41"/>
        <v>68.901126527999992</v>
      </c>
      <c r="U74" s="33">
        <f t="shared" si="41"/>
        <v>71.655053183999996</v>
      </c>
      <c r="V74" s="33">
        <f t="shared" si="41"/>
        <v>74.162935911999995</v>
      </c>
      <c r="W74" s="33">
        <f t="shared" si="41"/>
        <v>76.574828408000016</v>
      </c>
      <c r="X74" s="33">
        <f t="shared" si="41"/>
        <v>79.062851088000016</v>
      </c>
      <c r="Y74" s="33">
        <f t="shared" si="41"/>
        <v>81.117262720000014</v>
      </c>
      <c r="Z74" s="33">
        <f t="shared" si="41"/>
        <v>83.146297624000013</v>
      </c>
      <c r="AA74" s="33">
        <f t="shared" si="41"/>
        <v>85.224982647999994</v>
      </c>
      <c r="AB74" s="33">
        <f t="shared" si="38"/>
        <v>4.0000000000000022E-2</v>
      </c>
      <c r="AC74" s="33">
        <f t="shared" si="33"/>
        <v>4.0000000000000084E-2</v>
      </c>
      <c r="AD74" s="33">
        <f t="shared" si="33"/>
        <v>4.0000000000000022E-2</v>
      </c>
      <c r="AE74" s="33">
        <f t="shared" si="33"/>
        <v>4.0000000000000077E-2</v>
      </c>
      <c r="AF74" s="33">
        <f t="shared" si="33"/>
        <v>4.0000000000000008E-2</v>
      </c>
      <c r="AG74" s="33">
        <f t="shared" si="33"/>
        <v>3.9999999999999931E-2</v>
      </c>
      <c r="AH74" s="33">
        <f t="shared" si="33"/>
        <v>0.04</v>
      </c>
      <c r="AI74" s="33">
        <f t="shared" si="33"/>
        <v>4.0000000000000049E-2</v>
      </c>
      <c r="AJ74" s="33">
        <f t="shared" si="33"/>
        <v>3.9999999999999945E-2</v>
      </c>
      <c r="AK74" s="33">
        <f t="shared" si="33"/>
        <v>4.0000000000000112E-2</v>
      </c>
      <c r="AL74" s="33">
        <f t="shared" si="33"/>
        <v>4.0000000000000056E-2</v>
      </c>
      <c r="AM74" s="33">
        <f t="shared" si="33"/>
        <v>4.0000000000000049E-2</v>
      </c>
      <c r="AN74" s="33">
        <f t="shared" si="33"/>
        <v>3.9999999999999952E-2</v>
      </c>
      <c r="AO74" s="33" t="e">
        <f t="shared" si="33"/>
        <v>#DIV/0!</v>
      </c>
    </row>
    <row r="75" spans="3:44" x14ac:dyDescent="0.25">
      <c r="C75" s="21">
        <v>8</v>
      </c>
      <c r="D75" s="26" t="str">
        <f>$B$4&amp;$D$3&amp;$E$5&amp;$G$4</f>
        <v>Level II Staff RN - Hospital (Inexpd.)Level II Step Down Unit RNYes</v>
      </c>
      <c r="F75">
        <v>15</v>
      </c>
      <c r="M75" s="5">
        <v>10</v>
      </c>
      <c r="N75" s="5" t="str">
        <f t="shared" si="31"/>
        <v>Level III (PD)</v>
      </c>
      <c r="O75" s="33">
        <f>O54*1.04</f>
        <v>54.593065280000005</v>
      </c>
      <c r="P75" s="33">
        <f t="shared" si="41"/>
        <v>57.867766528000004</v>
      </c>
      <c r="Q75" s="33">
        <f t="shared" si="41"/>
        <v>62.497364384000001</v>
      </c>
      <c r="R75" s="33">
        <f t="shared" si="41"/>
        <v>65.623115272000007</v>
      </c>
      <c r="S75" s="33">
        <f t="shared" si="41"/>
        <v>68.902229863999992</v>
      </c>
      <c r="T75" s="33">
        <f t="shared" si="41"/>
        <v>71.657259855999996</v>
      </c>
      <c r="U75" s="33">
        <f t="shared" si="41"/>
        <v>74.523726784000004</v>
      </c>
      <c r="V75" s="33">
        <f t="shared" si="41"/>
        <v>77.132013088000008</v>
      </c>
      <c r="W75" s="33">
        <f t="shared" si="41"/>
        <v>79.638792480000021</v>
      </c>
      <c r="X75" s="33">
        <f t="shared" si="41"/>
        <v>82.228322072000012</v>
      </c>
      <c r="Y75" s="33">
        <f t="shared" si="41"/>
        <v>84.366587240000001</v>
      </c>
      <c r="Z75" s="33">
        <f t="shared" si="41"/>
        <v>86.475062336000022</v>
      </c>
      <c r="AA75" s="33">
        <f t="shared" si="41"/>
        <v>88.637600896000009</v>
      </c>
      <c r="AB75" s="33">
        <f t="shared" si="38"/>
        <v>4.0000000000000042E-2</v>
      </c>
      <c r="AC75" s="33">
        <f t="shared" si="33"/>
        <v>4.0000000000000042E-2</v>
      </c>
      <c r="AD75" s="33">
        <f t="shared" si="33"/>
        <v>4.000000000000007E-2</v>
      </c>
      <c r="AE75" s="33">
        <f t="shared" si="33"/>
        <v>4.0000000000000098E-2</v>
      </c>
      <c r="AF75" s="33">
        <f t="shared" si="33"/>
        <v>3.9999999999999945E-2</v>
      </c>
      <c r="AG75" s="33">
        <f t="shared" si="33"/>
        <v>4.0000000000000036E-2</v>
      </c>
      <c r="AH75" s="33">
        <f t="shared" si="33"/>
        <v>4.0000000000000056E-2</v>
      </c>
      <c r="AI75" s="33">
        <f t="shared" si="33"/>
        <v>4.0000000000000091E-2</v>
      </c>
      <c r="AJ75" s="33">
        <f t="shared" si="33"/>
        <v>4.0000000000000112E-2</v>
      </c>
      <c r="AK75" s="33">
        <f t="shared" si="33"/>
        <v>4.0000000000000091E-2</v>
      </c>
      <c r="AL75" s="33">
        <f t="shared" si="33"/>
        <v>4.0000000000000015E-2</v>
      </c>
      <c r="AM75" s="33">
        <f t="shared" si="33"/>
        <v>4.0000000000000091E-2</v>
      </c>
      <c r="AN75" s="33">
        <f t="shared" si="33"/>
        <v>3.9999999999999959E-2</v>
      </c>
      <c r="AO75" s="33" t="e">
        <f t="shared" si="33"/>
        <v>#DIV/0!</v>
      </c>
    </row>
    <row r="76" spans="3:44" x14ac:dyDescent="0.25">
      <c r="C76" s="21">
        <v>9</v>
      </c>
      <c r="D76" s="26" t="str">
        <f>$B$4&amp;$D$3&amp;$E$5&amp;$G$5</f>
        <v>Level II Staff RN - Hospital (Inexpd.)Level II Step Down Unit RNNo</v>
      </c>
      <c r="F76">
        <v>15</v>
      </c>
      <c r="M76" s="5">
        <v>11</v>
      </c>
      <c r="N76" s="5" t="str">
        <f t="shared" si="31"/>
        <v>Level IV (PD)</v>
      </c>
      <c r="O76" s="33" t="s">
        <v>91</v>
      </c>
      <c r="P76" s="33">
        <f t="shared" si="41"/>
        <v>58.42164120000001</v>
      </c>
      <c r="Q76" s="33">
        <f t="shared" si="41"/>
        <v>63.09537249600001</v>
      </c>
      <c r="R76" s="33">
        <f t="shared" si="41"/>
        <v>66.250913456000006</v>
      </c>
      <c r="S76" s="33">
        <f t="shared" si="41"/>
        <v>69.562024792000017</v>
      </c>
      <c r="T76" s="33">
        <f t="shared" si="41"/>
        <v>72.34353484799999</v>
      </c>
      <c r="U76" s="33">
        <f t="shared" si="41"/>
        <v>75.238688511999996</v>
      </c>
      <c r="V76" s="33">
        <f t="shared" si="41"/>
        <v>77.871248207999997</v>
      </c>
      <c r="W76" s="33">
        <f t="shared" si="41"/>
        <v>80.402300992000008</v>
      </c>
      <c r="X76" s="33">
        <f t="shared" si="41"/>
        <v>83.015000639999997</v>
      </c>
      <c r="Y76" s="33">
        <f t="shared" si="41"/>
        <v>85.174229192000013</v>
      </c>
      <c r="Z76" s="33">
        <f t="shared" si="41"/>
        <v>87.304771008000003</v>
      </c>
      <c r="AA76" s="33">
        <f t="shared" si="41"/>
        <v>89.488272952000003</v>
      </c>
      <c r="AB76" s="33" t="e">
        <f t="shared" si="38"/>
        <v>#VALUE!</v>
      </c>
      <c r="AC76" s="33">
        <f t="shared" si="33"/>
        <v>4.0000000000000029E-2</v>
      </c>
      <c r="AD76" s="33">
        <f t="shared" si="33"/>
        <v>4.0000000000000077E-2</v>
      </c>
      <c r="AE76" s="33">
        <f t="shared" si="33"/>
        <v>4.0000000000000008E-2</v>
      </c>
      <c r="AF76" s="33">
        <f t="shared" si="33"/>
        <v>4.0000000000000119E-2</v>
      </c>
      <c r="AG76" s="33">
        <f t="shared" si="33"/>
        <v>3.9999999999999966E-2</v>
      </c>
      <c r="AH76" s="33">
        <f t="shared" si="33"/>
        <v>3.9999999999999994E-2</v>
      </c>
      <c r="AI76" s="33">
        <f t="shared" si="33"/>
        <v>3.9999999999999973E-2</v>
      </c>
      <c r="AJ76" s="33">
        <f t="shared" si="33"/>
        <v>4.0000000000000126E-2</v>
      </c>
      <c r="AK76" s="33">
        <f t="shared" si="33"/>
        <v>4.0000000000000036E-2</v>
      </c>
      <c r="AL76" s="33">
        <f t="shared" si="33"/>
        <v>4.0000000000000029E-2</v>
      </c>
      <c r="AM76" s="33">
        <f t="shared" si="33"/>
        <v>4.0000000000000036E-2</v>
      </c>
      <c r="AN76" s="33">
        <f t="shared" si="33"/>
        <v>3.999999999999998E-2</v>
      </c>
      <c r="AO76" s="33" t="e">
        <f t="shared" si="33"/>
        <v>#VALUE!</v>
      </c>
    </row>
    <row r="77" spans="3:44" x14ac:dyDescent="0.25">
      <c r="C77" s="21">
        <v>10</v>
      </c>
      <c r="D77" s="26" t="str">
        <f>$B$4&amp;$D$3&amp;$E$6&amp;$G$3</f>
        <v>Level II Staff RN - Hospital (Inexpd.)Level III Spec Unit Staff RN - Hospital NICU -Transport RN</v>
      </c>
      <c r="F77">
        <v>15</v>
      </c>
      <c r="M77" s="5">
        <v>12</v>
      </c>
      <c r="N77" s="5" t="str">
        <f t="shared" si="31"/>
        <v>Level V (PD)</v>
      </c>
      <c r="O77" s="33" t="s">
        <v>91</v>
      </c>
      <c r="P77" s="33">
        <f t="shared" si="41"/>
        <v>59.892388088000004</v>
      </c>
      <c r="Q77" s="33">
        <f t="shared" si="41"/>
        <v>64.684176336000007</v>
      </c>
      <c r="R77" s="33">
        <f t="shared" si="41"/>
        <v>67.916950815999996</v>
      </c>
      <c r="S77" s="33">
        <f t="shared" si="41"/>
        <v>71.315225696000013</v>
      </c>
      <c r="T77" s="33">
        <f t="shared" si="41"/>
        <v>74.168452592000008</v>
      </c>
      <c r="U77" s="33">
        <f t="shared" si="41"/>
        <v>77.132013088000008</v>
      </c>
      <c r="V77" s="33">
        <f t="shared" si="41"/>
        <v>79.831876280000017</v>
      </c>
      <c r="W77" s="33">
        <f t="shared" si="41"/>
        <v>82.425819216000008</v>
      </c>
      <c r="X77" s="33">
        <f t="shared" si="41"/>
        <v>85.106925696000005</v>
      </c>
      <c r="Y77" s="33">
        <f t="shared" si="41"/>
        <v>87.319114376000002</v>
      </c>
      <c r="Z77" s="33">
        <f t="shared" si="41"/>
        <v>89.502616320000001</v>
      </c>
      <c r="AA77" s="33">
        <f t="shared" si="41"/>
        <v>91.73907839200001</v>
      </c>
      <c r="AB77" s="33" t="e">
        <f t="shared" si="38"/>
        <v>#VALUE!</v>
      </c>
      <c r="AC77" s="33">
        <f t="shared" si="33"/>
        <v>4.0000000000000077E-2</v>
      </c>
      <c r="AD77" s="33">
        <f t="shared" si="33"/>
        <v>4.0000000000000042E-2</v>
      </c>
      <c r="AE77" s="33">
        <f t="shared" si="33"/>
        <v>4.000000000000007E-2</v>
      </c>
      <c r="AF77" s="33">
        <f t="shared" si="33"/>
        <v>4.0000000000000077E-2</v>
      </c>
      <c r="AG77" s="33">
        <f t="shared" si="33"/>
        <v>4.0000000000000119E-2</v>
      </c>
      <c r="AH77" s="33">
        <f t="shared" si="33"/>
        <v>4.0000000000000091E-2</v>
      </c>
      <c r="AI77" s="33">
        <f t="shared" si="33"/>
        <v>0.04</v>
      </c>
      <c r="AJ77" s="33">
        <f t="shared" si="33"/>
        <v>4.0000000000000042E-2</v>
      </c>
      <c r="AK77" s="33">
        <f t="shared" si="33"/>
        <v>4.0000000000000091E-2</v>
      </c>
      <c r="AL77" s="33">
        <f t="shared" si="33"/>
        <v>4.0000000000000036E-2</v>
      </c>
      <c r="AM77" s="33">
        <f t="shared" si="33"/>
        <v>3.999999999999998E-2</v>
      </c>
      <c r="AN77" s="33">
        <f t="shared" si="33"/>
        <v>4.0000000000000036E-2</v>
      </c>
      <c r="AO77" s="33" t="e">
        <f t="shared" si="33"/>
        <v>#VALUE!</v>
      </c>
    </row>
    <row r="78" spans="3:44" x14ac:dyDescent="0.25">
      <c r="C78" s="21">
        <v>11</v>
      </c>
      <c r="D78" s="26" t="str">
        <f>$B$4&amp;$D$3&amp;$E$6&amp;$G$4</f>
        <v>Level II Staff RN - Hospital (Inexpd.)Level III Spec Unit Staff RN - Hospital NICU -Transport RNYes</v>
      </c>
      <c r="F78">
        <v>15</v>
      </c>
      <c r="M78" s="5">
        <v>13</v>
      </c>
      <c r="N78" s="5" t="str">
        <f t="shared" si="31"/>
        <v>PHN (PD)</v>
      </c>
      <c r="O78" s="33" t="s">
        <v>91</v>
      </c>
      <c r="P78" s="33">
        <f t="shared" si="41"/>
        <v>59.892388088000004</v>
      </c>
      <c r="Q78" s="33">
        <f t="shared" si="41"/>
        <v>64.684176336000007</v>
      </c>
      <c r="R78" s="33">
        <f t="shared" si="41"/>
        <v>67.916950815999996</v>
      </c>
      <c r="S78" s="33">
        <f t="shared" si="41"/>
        <v>71.315225696000013</v>
      </c>
      <c r="T78" s="33">
        <f t="shared" si="41"/>
        <v>74.168452592000008</v>
      </c>
      <c r="U78" s="33">
        <f t="shared" si="41"/>
        <v>77.132013088000008</v>
      </c>
      <c r="V78" s="33">
        <f t="shared" si="41"/>
        <v>79.831876280000017</v>
      </c>
      <c r="W78" s="33">
        <f t="shared" si="41"/>
        <v>82.426922551999994</v>
      </c>
      <c r="X78" s="33">
        <f t="shared" si="41"/>
        <v>85.106925696000005</v>
      </c>
      <c r="Y78" s="33">
        <f t="shared" si="41"/>
        <v>87.319114376000002</v>
      </c>
      <c r="Z78" s="33">
        <f t="shared" si="41"/>
        <v>89.502616320000001</v>
      </c>
      <c r="AA78" s="33">
        <f t="shared" si="41"/>
        <v>91.73907839200001</v>
      </c>
      <c r="AB78" s="33" t="e">
        <f t="shared" si="38"/>
        <v>#VALUE!</v>
      </c>
      <c r="AC78" s="33">
        <f t="shared" si="33"/>
        <v>4.0000000000000077E-2</v>
      </c>
      <c r="AD78" s="33">
        <f t="shared" si="33"/>
        <v>4.0000000000000042E-2</v>
      </c>
      <c r="AE78" s="33">
        <f t="shared" si="33"/>
        <v>4.000000000000007E-2</v>
      </c>
      <c r="AF78" s="33">
        <f t="shared" si="33"/>
        <v>4.0000000000000077E-2</v>
      </c>
      <c r="AG78" s="33">
        <f t="shared" si="33"/>
        <v>4.0000000000000119E-2</v>
      </c>
      <c r="AH78" s="33">
        <f t="shared" si="33"/>
        <v>4.0000000000000091E-2</v>
      </c>
      <c r="AI78" s="33">
        <f t="shared" si="33"/>
        <v>0.04</v>
      </c>
      <c r="AJ78" s="33">
        <f t="shared" si="33"/>
        <v>4.0000000000000063E-2</v>
      </c>
      <c r="AK78" s="33">
        <f t="shared" si="33"/>
        <v>4.0000000000000091E-2</v>
      </c>
      <c r="AL78" s="33">
        <f t="shared" si="33"/>
        <v>4.0000000000000036E-2</v>
      </c>
      <c r="AM78" s="33">
        <f t="shared" si="33"/>
        <v>3.999999999999998E-2</v>
      </c>
      <c r="AN78" s="33">
        <f t="shared" si="33"/>
        <v>4.0000000000000036E-2</v>
      </c>
      <c r="AO78" s="33" t="e">
        <f t="shared" si="33"/>
        <v>#VALUE!</v>
      </c>
    </row>
    <row r="79" spans="3:44" x14ac:dyDescent="0.25">
      <c r="C79" s="21">
        <v>12</v>
      </c>
      <c r="D79" s="26" t="str">
        <f>$B$4&amp;$D$3&amp;$E$6&amp;$G$5</f>
        <v>Level II Staff RN - Hospital (Inexpd.)Level III Spec Unit Staff RN - Hospital NICU -Transport RNNo</v>
      </c>
      <c r="F79">
        <v>15</v>
      </c>
      <c r="M79" s="5">
        <v>14</v>
      </c>
      <c r="N79" s="5" t="str">
        <f t="shared" si="31"/>
        <v>Sr. PHN (PD)</v>
      </c>
      <c r="O79" s="33" t="s">
        <v>91</v>
      </c>
      <c r="P79" s="33">
        <f t="shared" si="41"/>
        <v>62.885738656000008</v>
      </c>
      <c r="Q79" s="33">
        <f t="shared" si="41"/>
        <v>67.916950815999996</v>
      </c>
      <c r="R79" s="33">
        <f t="shared" si="41"/>
        <v>71.315225696000013</v>
      </c>
      <c r="S79" s="33">
        <f t="shared" si="41"/>
        <v>74.879000976</v>
      </c>
      <c r="T79" s="33">
        <f t="shared" si="41"/>
        <v>77.873454879999997</v>
      </c>
      <c r="U79" s="33">
        <f t="shared" si="41"/>
        <v>80.990379080000011</v>
      </c>
      <c r="V79" s="33">
        <f t="shared" si="41"/>
        <v>83.823745928000008</v>
      </c>
      <c r="W79" s="33">
        <f t="shared" si="41"/>
        <v>86.550089184000001</v>
      </c>
      <c r="X79" s="33">
        <f t="shared" si="41"/>
        <v>89.363595984000014</v>
      </c>
      <c r="Y79" s="33">
        <f t="shared" si="41"/>
        <v>91.685014928000015</v>
      </c>
      <c r="Z79" s="33">
        <f t="shared" si="41"/>
        <v>93.977747135999991</v>
      </c>
      <c r="AA79" s="33">
        <f t="shared" si="41"/>
        <v>96.326749480000018</v>
      </c>
      <c r="AB79" s="33" t="e">
        <f t="shared" si="38"/>
        <v>#VALUE!</v>
      </c>
      <c r="AC79" s="33">
        <f t="shared" si="33"/>
        <v>4.0000000000000063E-2</v>
      </c>
      <c r="AD79" s="33">
        <f t="shared" si="33"/>
        <v>4.000000000000007E-2</v>
      </c>
      <c r="AE79" s="33">
        <f t="shared" si="33"/>
        <v>4.0000000000000077E-2</v>
      </c>
      <c r="AF79" s="33">
        <f t="shared" si="33"/>
        <v>3.9999999999999994E-2</v>
      </c>
      <c r="AG79" s="33">
        <f t="shared" si="33"/>
        <v>0.04</v>
      </c>
      <c r="AH79" s="33">
        <f t="shared" si="33"/>
        <v>4.0000000000000098E-2</v>
      </c>
      <c r="AI79" s="33">
        <f t="shared" si="33"/>
        <v>4.0000000000000063E-2</v>
      </c>
      <c r="AJ79" s="33">
        <f t="shared" si="33"/>
        <v>3.9999999999999959E-2</v>
      </c>
      <c r="AK79" s="33">
        <f t="shared" si="33"/>
        <v>4.0000000000000036E-2</v>
      </c>
      <c r="AL79" s="33">
        <f t="shared" si="33"/>
        <v>4.0000000000000077E-2</v>
      </c>
      <c r="AM79" s="33">
        <f t="shared" si="33"/>
        <v>3.9999999999999966E-2</v>
      </c>
      <c r="AN79" s="33">
        <f t="shared" si="33"/>
        <v>3.9999999999999987E-2</v>
      </c>
      <c r="AO79" s="33" t="e">
        <f t="shared" si="33"/>
        <v>#VALUE!</v>
      </c>
    </row>
    <row r="80" spans="3:44" x14ac:dyDescent="0.25">
      <c r="C80" s="21">
        <v>1</v>
      </c>
      <c r="D80" s="26" t="str">
        <f>$B$4&amp;$D$4&amp;$E$3&amp;$G$3</f>
        <v>Level II Staff RN - Hospital (Inexpd.)FT</v>
      </c>
      <c r="E80" t="s">
        <v>103</v>
      </c>
      <c r="F80">
        <v>2</v>
      </c>
      <c r="M80" s="5">
        <v>15</v>
      </c>
      <c r="N80" s="5" t="str">
        <f t="shared" si="31"/>
        <v xml:space="preserve"> </v>
      </c>
      <c r="O80" s="5" t="s">
        <v>109</v>
      </c>
      <c r="P80" s="5" t="s">
        <v>109</v>
      </c>
      <c r="Q80" s="5" t="s">
        <v>109</v>
      </c>
      <c r="R80" s="5" t="s">
        <v>109</v>
      </c>
      <c r="S80" s="5" t="s">
        <v>109</v>
      </c>
      <c r="T80" s="5" t="s">
        <v>109</v>
      </c>
      <c r="U80" s="5" t="s">
        <v>109</v>
      </c>
      <c r="V80" s="5" t="s">
        <v>109</v>
      </c>
      <c r="W80" s="5" t="s">
        <v>109</v>
      </c>
      <c r="X80" s="5" t="s">
        <v>109</v>
      </c>
      <c r="Y80" s="5" t="s">
        <v>109</v>
      </c>
      <c r="Z80" s="5" t="s">
        <v>109</v>
      </c>
      <c r="AA80" s="5" t="s">
        <v>109</v>
      </c>
    </row>
    <row r="81" spans="3:27" x14ac:dyDescent="0.25">
      <c r="C81" s="21">
        <v>2</v>
      </c>
      <c r="D81" s="26" t="str">
        <f>$B$4&amp;$D$4&amp;$E$3&amp;$G$4</f>
        <v>Level II Staff RN - Hospital (Inexpd.)FTYes</v>
      </c>
      <c r="E81" t="s">
        <v>91</v>
      </c>
      <c r="F81">
        <v>16</v>
      </c>
      <c r="M81" s="5">
        <v>16</v>
      </c>
      <c r="N81" s="5"/>
      <c r="O81" s="31" t="s">
        <v>91</v>
      </c>
      <c r="P81" s="31" t="s">
        <v>91</v>
      </c>
      <c r="Q81" s="31" t="s">
        <v>91</v>
      </c>
      <c r="R81" s="31" t="s">
        <v>91</v>
      </c>
      <c r="S81" s="31" t="s">
        <v>91</v>
      </c>
      <c r="T81" s="31" t="s">
        <v>91</v>
      </c>
      <c r="U81" s="31" t="s">
        <v>91</v>
      </c>
      <c r="V81" s="31" t="s">
        <v>91</v>
      </c>
      <c r="W81" s="31" t="s">
        <v>91</v>
      </c>
      <c r="X81" s="31" t="s">
        <v>91</v>
      </c>
      <c r="Y81" s="31" t="s">
        <v>91</v>
      </c>
      <c r="Z81" s="31" t="s">
        <v>91</v>
      </c>
      <c r="AA81" s="31" t="s">
        <v>91</v>
      </c>
    </row>
    <row r="82" spans="3:27" x14ac:dyDescent="0.25">
      <c r="C82" s="21">
        <v>3</v>
      </c>
      <c r="D82" s="26" t="str">
        <f>$B$4&amp;$D$4&amp;$E$3&amp;$G$5</f>
        <v>Level II Staff RN - Hospital (Inexpd.)FTNo</v>
      </c>
      <c r="E82" t="s">
        <v>91</v>
      </c>
      <c r="F82">
        <v>16</v>
      </c>
    </row>
    <row r="83" spans="3:27" x14ac:dyDescent="0.25">
      <c r="C83" s="21">
        <v>4</v>
      </c>
      <c r="D83" s="26" t="str">
        <f>$B$4&amp;$D$4&amp;$E$4&amp;$G$3</f>
        <v>Level II Staff RN - Hospital (Inexpd.)FTLevel II Staff RN - Hospital</v>
      </c>
      <c r="E83" t="s">
        <v>91</v>
      </c>
      <c r="F83">
        <v>16</v>
      </c>
    </row>
    <row r="84" spans="3:27" x14ac:dyDescent="0.25">
      <c r="C84" s="21">
        <v>5</v>
      </c>
      <c r="D84" s="26" t="str">
        <f>$B$4&amp;$D$4&amp;$E$4&amp;$G$4</f>
        <v>Level II Staff RN - Hospital (Inexpd.)FTLevel II Staff RN - HospitalYes</v>
      </c>
      <c r="E84" t="s">
        <v>91</v>
      </c>
      <c r="F84">
        <v>16</v>
      </c>
    </row>
    <row r="85" spans="3:27" x14ac:dyDescent="0.25">
      <c r="C85" s="21">
        <v>6</v>
      </c>
      <c r="D85" s="26" t="str">
        <f>$B$4&amp;$D$4&amp;$E$4&amp;$G$5</f>
        <v>Level II Staff RN - Hospital (Inexpd.)FTLevel II Staff RN - HospitalNo</v>
      </c>
      <c r="E85" t="s">
        <v>91</v>
      </c>
      <c r="F85">
        <v>16</v>
      </c>
    </row>
    <row r="86" spans="3:27" x14ac:dyDescent="0.25">
      <c r="C86" s="21">
        <v>7</v>
      </c>
      <c r="D86" s="26" t="str">
        <f>$B$4&amp;$D$4&amp;$E$5&amp;$G$3</f>
        <v>Level II Staff RN - Hospital (Inexpd.)FTLevel II Step Down Unit RN</v>
      </c>
      <c r="E86" t="s">
        <v>91</v>
      </c>
      <c r="F86">
        <v>16</v>
      </c>
    </row>
    <row r="87" spans="3:27" x14ac:dyDescent="0.25">
      <c r="C87" s="21">
        <v>8</v>
      </c>
      <c r="D87" s="26" t="str">
        <f>$B$4&amp;$D$4&amp;$E$5&amp;$G$4</f>
        <v>Level II Staff RN - Hospital (Inexpd.)FTLevel II Step Down Unit RNYes</v>
      </c>
      <c r="E87" t="s">
        <v>91</v>
      </c>
      <c r="F87">
        <v>16</v>
      </c>
    </row>
    <row r="88" spans="3:27" x14ac:dyDescent="0.25">
      <c r="C88" s="21">
        <v>9</v>
      </c>
      <c r="D88" s="26" t="str">
        <f>$B$4&amp;$D$4&amp;$E$5&amp;$G$5</f>
        <v>Level II Staff RN - Hospital (Inexpd.)FTLevel II Step Down Unit RNNo</v>
      </c>
      <c r="E88" t="s">
        <v>91</v>
      </c>
      <c r="F88">
        <v>16</v>
      </c>
    </row>
    <row r="89" spans="3:27" x14ac:dyDescent="0.25">
      <c r="C89" s="21">
        <v>10</v>
      </c>
      <c r="D89" s="26" t="str">
        <f>$B$4&amp;$D$4&amp;$E$6&amp;$G$3</f>
        <v>Level II Staff RN - Hospital (Inexpd.)FTLevel III Spec Unit Staff RN - Hospital NICU -Transport RN</v>
      </c>
      <c r="E89" t="s">
        <v>91</v>
      </c>
      <c r="F89">
        <v>16</v>
      </c>
    </row>
    <row r="90" spans="3:27" x14ac:dyDescent="0.25">
      <c r="C90" s="21">
        <v>11</v>
      </c>
      <c r="D90" s="26" t="str">
        <f>$B$4&amp;$D$4&amp;$E$6&amp;$G$4</f>
        <v>Level II Staff RN - Hospital (Inexpd.)FTLevel III Spec Unit Staff RN - Hospital NICU -Transport RNYes</v>
      </c>
      <c r="E90" t="s">
        <v>91</v>
      </c>
      <c r="F90">
        <v>16</v>
      </c>
    </row>
    <row r="91" spans="3:27" x14ac:dyDescent="0.25">
      <c r="C91" s="21">
        <v>12</v>
      </c>
      <c r="D91" s="26" t="str">
        <f>$B$4&amp;$D$4&amp;$E$6&amp;$G$5</f>
        <v>Level II Staff RN - Hospital (Inexpd.)FTLevel III Spec Unit Staff RN - Hospital NICU -Transport RNNo</v>
      </c>
      <c r="E91" t="s">
        <v>91</v>
      </c>
      <c r="F91">
        <v>16</v>
      </c>
    </row>
    <row r="92" spans="3:27" x14ac:dyDescent="0.25">
      <c r="C92" s="21">
        <v>1</v>
      </c>
      <c r="D92" s="26" t="str">
        <f>$B$4&amp;$D$5&amp;$E$3&amp;$G$3</f>
        <v>Level II Staff RN - Hospital (Inexpd.)PT</v>
      </c>
      <c r="E92" t="s">
        <v>103</v>
      </c>
      <c r="F92">
        <v>2</v>
      </c>
    </row>
    <row r="93" spans="3:27" x14ac:dyDescent="0.25">
      <c r="C93" s="21">
        <v>2</v>
      </c>
      <c r="D93" s="26" t="str">
        <f>$B$4&amp;$D$5&amp;$E$3&amp;$G$4</f>
        <v>Level II Staff RN - Hospital (Inexpd.)PTYes</v>
      </c>
      <c r="E93" t="s">
        <v>91</v>
      </c>
      <c r="F93">
        <v>16</v>
      </c>
    </row>
    <row r="94" spans="3:27" x14ac:dyDescent="0.25">
      <c r="C94" s="21">
        <v>3</v>
      </c>
      <c r="D94" s="26" t="str">
        <f>$B$4&amp;$D$5&amp;$E$3&amp;$G$5</f>
        <v>Level II Staff RN - Hospital (Inexpd.)PTNo</v>
      </c>
      <c r="E94" t="s">
        <v>91</v>
      </c>
      <c r="F94">
        <v>16</v>
      </c>
    </row>
    <row r="95" spans="3:27" x14ac:dyDescent="0.25">
      <c r="C95" s="21">
        <v>4</v>
      </c>
      <c r="D95" s="26" t="str">
        <f>$B$4&amp;$D$5&amp;$E$4&amp;$G$3</f>
        <v>Level II Staff RN - Hospital (Inexpd.)PTLevel II Staff RN - Hospital</v>
      </c>
      <c r="E95" t="s">
        <v>91</v>
      </c>
      <c r="F95">
        <v>16</v>
      </c>
    </row>
    <row r="96" spans="3:27" x14ac:dyDescent="0.25">
      <c r="C96" s="21">
        <v>5</v>
      </c>
      <c r="D96" s="26" t="str">
        <f>$B$4&amp;$D$5&amp;$E$4&amp;$G$4</f>
        <v>Level II Staff RN - Hospital (Inexpd.)PTLevel II Staff RN - HospitalYes</v>
      </c>
      <c r="E96" t="s">
        <v>91</v>
      </c>
      <c r="F96">
        <v>16</v>
      </c>
    </row>
    <row r="97" spans="3:6" x14ac:dyDescent="0.25">
      <c r="C97" s="21">
        <v>6</v>
      </c>
      <c r="D97" s="26" t="str">
        <f>$B$4&amp;$D$5&amp;$E$4&amp;$G$5</f>
        <v>Level II Staff RN - Hospital (Inexpd.)PTLevel II Staff RN - HospitalNo</v>
      </c>
      <c r="E97" t="s">
        <v>91</v>
      </c>
      <c r="F97">
        <v>16</v>
      </c>
    </row>
    <row r="98" spans="3:6" x14ac:dyDescent="0.25">
      <c r="C98" s="21">
        <v>7</v>
      </c>
      <c r="D98" s="26" t="str">
        <f>$B$4&amp;$D$5&amp;$E$5&amp;$G$3</f>
        <v>Level II Staff RN - Hospital (Inexpd.)PTLevel II Step Down Unit RN</v>
      </c>
      <c r="E98" t="s">
        <v>91</v>
      </c>
      <c r="F98">
        <v>16</v>
      </c>
    </row>
    <row r="99" spans="3:6" x14ac:dyDescent="0.25">
      <c r="C99" s="21">
        <v>8</v>
      </c>
      <c r="D99" s="26" t="str">
        <f>$B$4&amp;$D$5&amp;$E$5&amp;$G$4</f>
        <v>Level II Staff RN - Hospital (Inexpd.)PTLevel II Step Down Unit RNYes</v>
      </c>
      <c r="E99" t="s">
        <v>91</v>
      </c>
      <c r="F99">
        <v>16</v>
      </c>
    </row>
    <row r="100" spans="3:6" x14ac:dyDescent="0.25">
      <c r="C100" s="21">
        <v>9</v>
      </c>
      <c r="D100" s="26" t="str">
        <f>$B$4&amp;$D$5&amp;$E$5&amp;$G$5</f>
        <v>Level II Staff RN - Hospital (Inexpd.)PTLevel II Step Down Unit RNNo</v>
      </c>
      <c r="E100" t="s">
        <v>91</v>
      </c>
      <c r="F100">
        <v>16</v>
      </c>
    </row>
    <row r="101" spans="3:6" x14ac:dyDescent="0.25">
      <c r="C101" s="21">
        <v>10</v>
      </c>
      <c r="D101" s="26" t="str">
        <f>$B$4&amp;$D$5&amp;$E$6&amp;$G$3</f>
        <v>Level II Staff RN - Hospital (Inexpd.)PTLevel III Spec Unit Staff RN - Hospital NICU -Transport RN</v>
      </c>
      <c r="E101" t="s">
        <v>91</v>
      </c>
      <c r="F101">
        <v>16</v>
      </c>
    </row>
    <row r="102" spans="3:6" x14ac:dyDescent="0.25">
      <c r="C102" s="21">
        <v>11</v>
      </c>
      <c r="D102" s="26" t="str">
        <f>$B$4&amp;$D$5&amp;$E$6&amp;$G$4</f>
        <v>Level II Staff RN - Hospital (Inexpd.)PTLevel III Spec Unit Staff RN - Hospital NICU -Transport RNYes</v>
      </c>
      <c r="E102" t="s">
        <v>91</v>
      </c>
      <c r="F102">
        <v>16</v>
      </c>
    </row>
    <row r="103" spans="3:6" x14ac:dyDescent="0.25">
      <c r="C103" s="21">
        <v>12</v>
      </c>
      <c r="D103" s="26" t="str">
        <f>$B$4&amp;$D$5&amp;$E$6&amp;$G$5</f>
        <v>Level II Staff RN - Hospital (Inexpd.)PTLevel III Spec Unit Staff RN - Hospital NICU -Transport RNNo</v>
      </c>
      <c r="E103" t="s">
        <v>91</v>
      </c>
      <c r="F103">
        <v>16</v>
      </c>
    </row>
    <row r="104" spans="3:6" x14ac:dyDescent="0.25">
      <c r="C104" s="21">
        <v>1</v>
      </c>
      <c r="D104" s="26" t="str">
        <f>$B$4&amp;$D$6&amp;$E$3&amp;$G$3</f>
        <v>Level II Staff RN - Hospital (Inexpd.)PD</v>
      </c>
      <c r="E104" t="s">
        <v>104</v>
      </c>
      <c r="F104">
        <v>9</v>
      </c>
    </row>
    <row r="105" spans="3:6" x14ac:dyDescent="0.25">
      <c r="C105" s="21">
        <v>2</v>
      </c>
      <c r="D105" s="26" t="str">
        <f>$B$4&amp;$D$6&amp;$E$3&amp;$G$4</f>
        <v>Level II Staff RN - Hospital (Inexpd.)PDYes</v>
      </c>
      <c r="E105" t="s">
        <v>91</v>
      </c>
      <c r="F105">
        <v>16</v>
      </c>
    </row>
    <row r="106" spans="3:6" x14ac:dyDescent="0.25">
      <c r="C106" s="21">
        <v>3</v>
      </c>
      <c r="D106" s="26" t="str">
        <f>$B$4&amp;$D$6&amp;$E$3&amp;$G$5</f>
        <v>Level II Staff RN - Hospital (Inexpd.)PDNo</v>
      </c>
      <c r="E106" t="s">
        <v>91</v>
      </c>
      <c r="F106">
        <v>16</v>
      </c>
    </row>
    <row r="107" spans="3:6" x14ac:dyDescent="0.25">
      <c r="C107" s="21">
        <v>4</v>
      </c>
      <c r="D107" s="26" t="str">
        <f>$B$4&amp;$D$6&amp;$E$4&amp;$G$3</f>
        <v>Level II Staff RN - Hospital (Inexpd.)PDLevel II Staff RN - Hospital</v>
      </c>
      <c r="E107" t="s">
        <v>91</v>
      </c>
      <c r="F107">
        <v>16</v>
      </c>
    </row>
    <row r="108" spans="3:6" x14ac:dyDescent="0.25">
      <c r="C108" s="21">
        <v>5</v>
      </c>
      <c r="D108" s="26" t="str">
        <f>$B$4&amp;$D$6&amp;$E$4&amp;$G$4</f>
        <v>Level II Staff RN - Hospital (Inexpd.)PDLevel II Staff RN - HospitalYes</v>
      </c>
      <c r="E108" t="s">
        <v>91</v>
      </c>
      <c r="F108">
        <v>16</v>
      </c>
    </row>
    <row r="109" spans="3:6" x14ac:dyDescent="0.25">
      <c r="C109" s="21">
        <v>6</v>
      </c>
      <c r="D109" s="26" t="str">
        <f>$B$4&amp;$D$6&amp;$E$4&amp;$G$5</f>
        <v>Level II Staff RN - Hospital (Inexpd.)PDLevel II Staff RN - HospitalNo</v>
      </c>
      <c r="E109" t="s">
        <v>91</v>
      </c>
      <c r="F109">
        <v>16</v>
      </c>
    </row>
    <row r="110" spans="3:6" x14ac:dyDescent="0.25">
      <c r="C110" s="21">
        <v>7</v>
      </c>
      <c r="D110" s="26" t="str">
        <f>$B$4&amp;$D$6&amp;$E$5&amp;$G$3</f>
        <v>Level II Staff RN - Hospital (Inexpd.)PDLevel II Step Down Unit RN</v>
      </c>
      <c r="E110" t="s">
        <v>91</v>
      </c>
      <c r="F110">
        <v>16</v>
      </c>
    </row>
    <row r="111" spans="3:6" x14ac:dyDescent="0.25">
      <c r="C111" s="21">
        <v>8</v>
      </c>
      <c r="D111" s="26" t="str">
        <f>$B$4&amp;$D$6&amp;$E$5&amp;$G$4</f>
        <v>Level II Staff RN - Hospital (Inexpd.)PDLevel II Step Down Unit RNYes</v>
      </c>
      <c r="E111" t="s">
        <v>91</v>
      </c>
      <c r="F111">
        <v>16</v>
      </c>
    </row>
    <row r="112" spans="3:6" x14ac:dyDescent="0.25">
      <c r="C112" s="21">
        <v>9</v>
      </c>
      <c r="D112" s="26" t="str">
        <f>$B$4&amp;$D$6&amp;$E$5&amp;$G$5</f>
        <v>Level II Staff RN - Hospital (Inexpd.)PDLevel II Step Down Unit RNNo</v>
      </c>
      <c r="E112" t="s">
        <v>91</v>
      </c>
      <c r="F112">
        <v>16</v>
      </c>
    </row>
    <row r="113" spans="3:6" x14ac:dyDescent="0.25">
      <c r="C113" s="21">
        <v>10</v>
      </c>
      <c r="D113" s="26" t="str">
        <f>$B$4&amp;$D$6&amp;$E$6&amp;$G$3</f>
        <v>Level II Staff RN - Hospital (Inexpd.)PDLevel III Spec Unit Staff RN - Hospital NICU -Transport RN</v>
      </c>
      <c r="E113" t="s">
        <v>91</v>
      </c>
      <c r="F113">
        <v>16</v>
      </c>
    </row>
    <row r="114" spans="3:6" x14ac:dyDescent="0.25">
      <c r="C114" s="21">
        <v>11</v>
      </c>
      <c r="D114" s="26" t="str">
        <f>$B$4&amp;$D$6&amp;$E$6&amp;$G$4</f>
        <v>Level II Staff RN - Hospital (Inexpd.)PDLevel III Spec Unit Staff RN - Hospital NICU -Transport RNYes</v>
      </c>
      <c r="E114" t="s">
        <v>91</v>
      </c>
      <c r="F114">
        <v>16</v>
      </c>
    </row>
    <row r="115" spans="3:6" x14ac:dyDescent="0.25">
      <c r="C115" s="21">
        <v>12</v>
      </c>
      <c r="D115" s="26" t="str">
        <f>$B$4&amp;$D$6&amp;$E$6&amp;$G$5</f>
        <v>Level II Staff RN - Hospital (Inexpd.)PDLevel III Spec Unit Staff RN - Hospital NICU -Transport RNNo</v>
      </c>
      <c r="E115" t="s">
        <v>91</v>
      </c>
      <c r="F115">
        <v>16</v>
      </c>
    </row>
    <row r="116" spans="3:6" x14ac:dyDescent="0.25">
      <c r="C116" s="21">
        <v>1</v>
      </c>
      <c r="D116" s="26" t="str">
        <f>$B$5&amp;$D$3&amp;$E$3&amp;$G$3</f>
        <v>Level II Staff RN - Hospital</v>
      </c>
      <c r="F116">
        <v>15</v>
      </c>
    </row>
    <row r="117" spans="3:6" x14ac:dyDescent="0.25">
      <c r="C117" s="21">
        <v>2</v>
      </c>
      <c r="D117" s="26" t="str">
        <f>$B$5&amp;$D$3&amp;$E$3&amp;$G$4</f>
        <v>Level II Staff RN - HospitalYes</v>
      </c>
      <c r="F117">
        <v>15</v>
      </c>
    </row>
    <row r="118" spans="3:6" x14ac:dyDescent="0.25">
      <c r="C118" s="21">
        <v>3</v>
      </c>
      <c r="D118" s="26" t="str">
        <f>$B$5&amp;$D$3&amp;$E$3&amp;$G$5</f>
        <v>Level II Staff RN - HospitalNo</v>
      </c>
      <c r="F118">
        <v>15</v>
      </c>
    </row>
    <row r="119" spans="3:6" x14ac:dyDescent="0.25">
      <c r="C119" s="21">
        <v>4</v>
      </c>
      <c r="D119" s="26" t="str">
        <f>$B$5&amp;$D$3&amp;$E$4&amp;$G$3</f>
        <v>Level II Staff RN - HospitalLevel II Staff RN - Hospital</v>
      </c>
      <c r="F119">
        <v>15</v>
      </c>
    </row>
    <row r="120" spans="3:6" x14ac:dyDescent="0.25">
      <c r="C120" s="21">
        <v>5</v>
      </c>
      <c r="D120" s="26" t="str">
        <f>$B$5&amp;$D$3&amp;$E$4&amp;$G$4</f>
        <v>Level II Staff RN - HospitalLevel II Staff RN - HospitalYes</v>
      </c>
      <c r="F120">
        <v>15</v>
      </c>
    </row>
    <row r="121" spans="3:6" x14ac:dyDescent="0.25">
      <c r="C121" s="21">
        <v>6</v>
      </c>
      <c r="D121" s="26" t="str">
        <f>$B$5&amp;$D$3&amp;$E$4&amp;$G$5</f>
        <v>Level II Staff RN - HospitalLevel II Staff RN - HospitalNo</v>
      </c>
      <c r="F121">
        <v>15</v>
      </c>
    </row>
    <row r="122" spans="3:6" x14ac:dyDescent="0.25">
      <c r="C122" s="21">
        <v>7</v>
      </c>
      <c r="D122" s="26" t="str">
        <f>$B$5&amp;$D$3&amp;$E$5&amp;$G$3</f>
        <v>Level II Staff RN - HospitalLevel II Step Down Unit RN</v>
      </c>
      <c r="F122">
        <v>15</v>
      </c>
    </row>
    <row r="123" spans="3:6" x14ac:dyDescent="0.25">
      <c r="C123" s="21">
        <v>8</v>
      </c>
      <c r="D123" s="26" t="str">
        <f>$B$5&amp;$D$3&amp;$E$5&amp;$G$4</f>
        <v>Level II Staff RN - HospitalLevel II Step Down Unit RNYes</v>
      </c>
      <c r="F123">
        <v>15</v>
      </c>
    </row>
    <row r="124" spans="3:6" x14ac:dyDescent="0.25">
      <c r="C124" s="21">
        <v>9</v>
      </c>
      <c r="D124" s="26" t="str">
        <f>$B$5&amp;$D$3&amp;$E$5&amp;$G$5</f>
        <v>Level II Staff RN - HospitalLevel II Step Down Unit RNNo</v>
      </c>
      <c r="F124">
        <v>15</v>
      </c>
    </row>
    <row r="125" spans="3:6" x14ac:dyDescent="0.25">
      <c r="C125" s="21">
        <v>10</v>
      </c>
      <c r="D125" s="26" t="str">
        <f>$B$5&amp;$D$3&amp;$E$6&amp;$G$3</f>
        <v>Level II Staff RN - HospitalLevel III Spec Unit Staff RN - Hospital NICU -Transport RN</v>
      </c>
      <c r="F125">
        <v>15</v>
      </c>
    </row>
    <row r="126" spans="3:6" x14ac:dyDescent="0.25">
      <c r="C126" s="21">
        <v>11</v>
      </c>
      <c r="D126" s="26" t="str">
        <f>$B$5&amp;$D$3&amp;$E$6&amp;$G$4</f>
        <v>Level II Staff RN - HospitalLevel III Spec Unit Staff RN - Hospital NICU -Transport RNYes</v>
      </c>
      <c r="F126">
        <v>15</v>
      </c>
    </row>
    <row r="127" spans="3:6" x14ac:dyDescent="0.25">
      <c r="C127" s="21">
        <v>12</v>
      </c>
      <c r="D127" s="26" t="str">
        <f>$B$5&amp;$D$3&amp;$E$6&amp;$G$5</f>
        <v>Level II Staff RN - HospitalLevel III Spec Unit Staff RN - Hospital NICU -Transport RNNo</v>
      </c>
      <c r="F127">
        <v>15</v>
      </c>
    </row>
    <row r="128" spans="3:6" x14ac:dyDescent="0.25">
      <c r="C128" s="21">
        <v>1</v>
      </c>
      <c r="D128" s="26" t="str">
        <f>$B$5&amp;$D$4&amp;$E$3&amp;$G$3</f>
        <v>Level II Staff RN - HospitalFT</v>
      </c>
      <c r="E128" t="s">
        <v>92</v>
      </c>
      <c r="F128">
        <v>2</v>
      </c>
    </row>
    <row r="129" spans="3:6" x14ac:dyDescent="0.25">
      <c r="C129" s="21">
        <v>2</v>
      </c>
      <c r="D129" s="26" t="str">
        <f>$B$5&amp;$D$4&amp;$E$3&amp;$G$4</f>
        <v>Level II Staff RN - HospitalFTYes</v>
      </c>
      <c r="E129" t="s">
        <v>91</v>
      </c>
      <c r="F129">
        <v>16</v>
      </c>
    </row>
    <row r="130" spans="3:6" x14ac:dyDescent="0.25">
      <c r="C130" s="21">
        <v>3</v>
      </c>
      <c r="D130" s="26" t="str">
        <f>$B$5&amp;$D$4&amp;$E$3&amp;$G$5</f>
        <v>Level II Staff RN - HospitalFTNo</v>
      </c>
      <c r="E130" t="s">
        <v>91</v>
      </c>
      <c r="F130">
        <v>16</v>
      </c>
    </row>
    <row r="131" spans="3:6" x14ac:dyDescent="0.25">
      <c r="C131" s="21">
        <v>4</v>
      </c>
      <c r="D131" s="26" t="str">
        <f>$B$5&amp;$D$4&amp;$E$4&amp;$G$3</f>
        <v>Level II Staff RN - HospitalFTLevel II Staff RN - Hospital</v>
      </c>
      <c r="E131" t="s">
        <v>91</v>
      </c>
      <c r="F131">
        <v>16</v>
      </c>
    </row>
    <row r="132" spans="3:6" x14ac:dyDescent="0.25">
      <c r="C132" s="21">
        <v>5</v>
      </c>
      <c r="D132" s="26" t="str">
        <f>$B$5&amp;$D$4&amp;$E$4&amp;$G$4</f>
        <v>Level II Staff RN - HospitalFTLevel II Staff RN - HospitalYes</v>
      </c>
      <c r="E132" t="s">
        <v>91</v>
      </c>
      <c r="F132">
        <v>16</v>
      </c>
    </row>
    <row r="133" spans="3:6" x14ac:dyDescent="0.25">
      <c r="C133" s="21">
        <v>6</v>
      </c>
      <c r="D133" s="26" t="str">
        <f>$B$5&amp;$D$4&amp;$E$4&amp;$G$5</f>
        <v>Level II Staff RN - HospitalFTLevel II Staff RN - HospitalNo</v>
      </c>
      <c r="E133" t="s">
        <v>91</v>
      </c>
      <c r="F133">
        <v>16</v>
      </c>
    </row>
    <row r="134" spans="3:6" x14ac:dyDescent="0.25">
      <c r="C134" s="21">
        <v>7</v>
      </c>
      <c r="D134" s="26" t="str">
        <f>$B$5&amp;$D$4&amp;$E$5&amp;$G$3</f>
        <v>Level II Staff RN - HospitalFTLevel II Step Down Unit RN</v>
      </c>
      <c r="E134" t="s">
        <v>91</v>
      </c>
      <c r="F134">
        <v>16</v>
      </c>
    </row>
    <row r="135" spans="3:6" x14ac:dyDescent="0.25">
      <c r="C135" s="21">
        <v>8</v>
      </c>
      <c r="D135" s="26" t="str">
        <f>$B$5&amp;$D$4&amp;$E$5&amp;$G$4</f>
        <v>Level II Staff RN - HospitalFTLevel II Step Down Unit RNYes</v>
      </c>
      <c r="E135" t="s">
        <v>91</v>
      </c>
      <c r="F135">
        <v>16</v>
      </c>
    </row>
    <row r="136" spans="3:6" x14ac:dyDescent="0.25">
      <c r="C136" s="21">
        <v>9</v>
      </c>
      <c r="D136" s="26" t="str">
        <f>$B$5&amp;$D$4&amp;$E$5&amp;$G$5</f>
        <v>Level II Staff RN - HospitalFTLevel II Step Down Unit RNNo</v>
      </c>
      <c r="E136" t="s">
        <v>91</v>
      </c>
      <c r="F136">
        <v>16</v>
      </c>
    </row>
    <row r="137" spans="3:6" x14ac:dyDescent="0.25">
      <c r="C137" s="21">
        <v>10</v>
      </c>
      <c r="D137" s="26" t="str">
        <f>$B$5&amp;$D$4&amp;$E$6&amp;$G$3</f>
        <v>Level II Staff RN - HospitalFTLevel III Spec Unit Staff RN - Hospital NICU -Transport RN</v>
      </c>
      <c r="E137" t="s">
        <v>91</v>
      </c>
      <c r="F137">
        <v>16</v>
      </c>
    </row>
    <row r="138" spans="3:6" x14ac:dyDescent="0.25">
      <c r="C138" s="21">
        <v>11</v>
      </c>
      <c r="D138" s="26" t="str">
        <f>$B$5&amp;$D$4&amp;$E$6&amp;$G$4</f>
        <v>Level II Staff RN - HospitalFTLevel III Spec Unit Staff RN - Hospital NICU -Transport RNYes</v>
      </c>
      <c r="E138" t="s">
        <v>91</v>
      </c>
      <c r="F138">
        <v>16</v>
      </c>
    </row>
    <row r="139" spans="3:6" x14ac:dyDescent="0.25">
      <c r="C139" s="21">
        <v>12</v>
      </c>
      <c r="D139" s="26" t="str">
        <f>$B$5&amp;$D$4&amp;$E$6&amp;$G$5</f>
        <v>Level II Staff RN - HospitalFTLevel III Spec Unit Staff RN - Hospital NICU -Transport RNNo</v>
      </c>
      <c r="E139" t="s">
        <v>91</v>
      </c>
      <c r="F139">
        <v>16</v>
      </c>
    </row>
    <row r="140" spans="3:6" x14ac:dyDescent="0.25">
      <c r="C140" s="21">
        <v>1</v>
      </c>
      <c r="D140" s="26" t="str">
        <f>$B$5&amp;$D$5&amp;$E$3&amp;$G$3</f>
        <v>Level II Staff RN - HospitalPT</v>
      </c>
      <c r="E140" t="s">
        <v>92</v>
      </c>
      <c r="F140">
        <v>2</v>
      </c>
    </row>
    <row r="141" spans="3:6" x14ac:dyDescent="0.25">
      <c r="C141" s="21">
        <v>2</v>
      </c>
      <c r="D141" s="26" t="str">
        <f>$B$5&amp;$D$5&amp;$E$3&amp;$G$4</f>
        <v>Level II Staff RN - HospitalPTYes</v>
      </c>
      <c r="E141" t="s">
        <v>91</v>
      </c>
      <c r="F141">
        <v>16</v>
      </c>
    </row>
    <row r="142" spans="3:6" x14ac:dyDescent="0.25">
      <c r="C142" s="21">
        <v>3</v>
      </c>
      <c r="D142" s="26" t="str">
        <f>$B$5&amp;$D$5&amp;$E$3&amp;$G$5</f>
        <v>Level II Staff RN - HospitalPTNo</v>
      </c>
      <c r="E142" t="s">
        <v>91</v>
      </c>
      <c r="F142">
        <v>16</v>
      </c>
    </row>
    <row r="143" spans="3:6" x14ac:dyDescent="0.25">
      <c r="C143" s="21">
        <v>4</v>
      </c>
      <c r="D143" s="26" t="str">
        <f>$B$5&amp;$D$5&amp;$E$4&amp;$G$3</f>
        <v>Level II Staff RN - HospitalPTLevel II Staff RN - Hospital</v>
      </c>
      <c r="E143" t="s">
        <v>91</v>
      </c>
      <c r="F143">
        <v>16</v>
      </c>
    </row>
    <row r="144" spans="3:6" x14ac:dyDescent="0.25">
      <c r="C144" s="21">
        <v>5</v>
      </c>
      <c r="D144" s="26" t="str">
        <f>$B$5&amp;$D$5&amp;$E$4&amp;$G$4</f>
        <v>Level II Staff RN - HospitalPTLevel II Staff RN - HospitalYes</v>
      </c>
      <c r="E144" t="s">
        <v>91</v>
      </c>
      <c r="F144">
        <v>16</v>
      </c>
    </row>
    <row r="145" spans="3:6" x14ac:dyDescent="0.25">
      <c r="C145" s="21">
        <v>6</v>
      </c>
      <c r="D145" s="26" t="str">
        <f>$B$5&amp;$D$5&amp;$E$4&amp;$G$5</f>
        <v>Level II Staff RN - HospitalPTLevel II Staff RN - HospitalNo</v>
      </c>
      <c r="E145" t="s">
        <v>91</v>
      </c>
      <c r="F145">
        <v>16</v>
      </c>
    </row>
    <row r="146" spans="3:6" x14ac:dyDescent="0.25">
      <c r="C146" s="21">
        <v>7</v>
      </c>
      <c r="D146" s="26" t="str">
        <f>$B$5&amp;$D$5&amp;$E$5&amp;$G$3</f>
        <v>Level II Staff RN - HospitalPTLevel II Step Down Unit RN</v>
      </c>
      <c r="E146" t="s">
        <v>91</v>
      </c>
      <c r="F146">
        <v>16</v>
      </c>
    </row>
    <row r="147" spans="3:6" x14ac:dyDescent="0.25">
      <c r="C147" s="21">
        <v>8</v>
      </c>
      <c r="D147" s="26" t="str">
        <f>$B$5&amp;$D$5&amp;$E$5&amp;$G$4</f>
        <v>Level II Staff RN - HospitalPTLevel II Step Down Unit RNYes</v>
      </c>
      <c r="E147" t="s">
        <v>91</v>
      </c>
      <c r="F147">
        <v>16</v>
      </c>
    </row>
    <row r="148" spans="3:6" x14ac:dyDescent="0.25">
      <c r="C148" s="21">
        <v>9</v>
      </c>
      <c r="D148" s="26" t="str">
        <f>$B$5&amp;$D$5&amp;$E$5&amp;$G$5</f>
        <v>Level II Staff RN - HospitalPTLevel II Step Down Unit RNNo</v>
      </c>
      <c r="E148" t="s">
        <v>91</v>
      </c>
      <c r="F148">
        <v>16</v>
      </c>
    </row>
    <row r="149" spans="3:6" x14ac:dyDescent="0.25">
      <c r="C149" s="21">
        <v>10</v>
      </c>
      <c r="D149" s="26" t="str">
        <f>$B$5&amp;$D$5&amp;$E$6&amp;$G$3</f>
        <v>Level II Staff RN - HospitalPTLevel III Spec Unit Staff RN - Hospital NICU -Transport RN</v>
      </c>
      <c r="E149" t="s">
        <v>91</v>
      </c>
      <c r="F149">
        <v>16</v>
      </c>
    </row>
    <row r="150" spans="3:6" x14ac:dyDescent="0.25">
      <c r="C150" s="21">
        <v>11</v>
      </c>
      <c r="D150" s="26" t="str">
        <f>$B$5&amp;$D$5&amp;$E$6&amp;$G$4</f>
        <v>Level II Staff RN - HospitalPTLevel III Spec Unit Staff RN - Hospital NICU -Transport RNYes</v>
      </c>
      <c r="E150" t="s">
        <v>91</v>
      </c>
      <c r="F150">
        <v>16</v>
      </c>
    </row>
    <row r="151" spans="3:6" x14ac:dyDescent="0.25">
      <c r="C151" s="21">
        <v>12</v>
      </c>
      <c r="D151" s="26" t="str">
        <f>$B$5&amp;$D$5&amp;$E$6&amp;$G$5</f>
        <v>Level II Staff RN - HospitalPTLevel III Spec Unit Staff RN - Hospital NICU -Transport RNNo</v>
      </c>
      <c r="E151" t="s">
        <v>91</v>
      </c>
      <c r="F151">
        <v>16</v>
      </c>
    </row>
    <row r="152" spans="3:6" x14ac:dyDescent="0.25">
      <c r="C152" s="21">
        <v>1</v>
      </c>
      <c r="D152" s="26" t="str">
        <f>$B$5&amp;$D$6&amp;$E$3&amp;$G$3</f>
        <v>Level II Staff RN - HospitalPD</v>
      </c>
      <c r="E152" t="s">
        <v>93</v>
      </c>
      <c r="F152">
        <v>9</v>
      </c>
    </row>
    <row r="153" spans="3:6" x14ac:dyDescent="0.25">
      <c r="C153" s="21">
        <v>2</v>
      </c>
      <c r="D153" s="26" t="str">
        <f>$B$5&amp;$D$6&amp;$E$3&amp;$G$4</f>
        <v>Level II Staff RN - HospitalPDYes</v>
      </c>
      <c r="E153" t="s">
        <v>91</v>
      </c>
      <c r="F153">
        <v>16</v>
      </c>
    </row>
    <row r="154" spans="3:6" x14ac:dyDescent="0.25">
      <c r="C154" s="21">
        <v>3</v>
      </c>
      <c r="D154" s="26" t="str">
        <f>$B$5&amp;$D$6&amp;$E$3&amp;$G$5</f>
        <v>Level II Staff RN - HospitalPDNo</v>
      </c>
      <c r="E154" t="s">
        <v>91</v>
      </c>
      <c r="F154">
        <v>16</v>
      </c>
    </row>
    <row r="155" spans="3:6" x14ac:dyDescent="0.25">
      <c r="C155" s="21">
        <v>4</v>
      </c>
      <c r="D155" s="26" t="str">
        <f>$B$5&amp;$D$6&amp;$E$4&amp;$G$3</f>
        <v>Level II Staff RN - HospitalPDLevel II Staff RN - Hospital</v>
      </c>
      <c r="E155" t="s">
        <v>91</v>
      </c>
      <c r="F155">
        <v>16</v>
      </c>
    </row>
    <row r="156" spans="3:6" x14ac:dyDescent="0.25">
      <c r="C156" s="21">
        <v>5</v>
      </c>
      <c r="D156" s="26" t="str">
        <f>$B$5&amp;$D$6&amp;$E$4&amp;$G$4</f>
        <v>Level II Staff RN - HospitalPDLevel II Staff RN - HospitalYes</v>
      </c>
      <c r="E156" t="s">
        <v>91</v>
      </c>
      <c r="F156">
        <v>16</v>
      </c>
    </row>
    <row r="157" spans="3:6" x14ac:dyDescent="0.25">
      <c r="C157" s="21">
        <v>6</v>
      </c>
      <c r="D157" s="26" t="str">
        <f>$B$5&amp;$D$6&amp;$E$4&amp;$G$5</f>
        <v>Level II Staff RN - HospitalPDLevel II Staff RN - HospitalNo</v>
      </c>
      <c r="E157" t="s">
        <v>91</v>
      </c>
      <c r="F157">
        <v>16</v>
      </c>
    </row>
    <row r="158" spans="3:6" x14ac:dyDescent="0.25">
      <c r="C158" s="21">
        <v>7</v>
      </c>
      <c r="D158" s="26" t="str">
        <f>$B$5&amp;$D$6&amp;$E$5&amp;$G$3</f>
        <v>Level II Staff RN - HospitalPDLevel II Step Down Unit RN</v>
      </c>
      <c r="E158" t="s">
        <v>91</v>
      </c>
      <c r="F158">
        <v>16</v>
      </c>
    </row>
    <row r="159" spans="3:6" x14ac:dyDescent="0.25">
      <c r="C159" s="21">
        <v>8</v>
      </c>
      <c r="D159" s="26" t="str">
        <f>$B$5&amp;$D$6&amp;$E$5&amp;$G$4</f>
        <v>Level II Staff RN - HospitalPDLevel II Step Down Unit RNYes</v>
      </c>
      <c r="E159" t="s">
        <v>91</v>
      </c>
      <c r="F159">
        <v>16</v>
      </c>
    </row>
    <row r="160" spans="3:6" x14ac:dyDescent="0.25">
      <c r="C160" s="21">
        <v>9</v>
      </c>
      <c r="D160" s="26" t="str">
        <f>$B$5&amp;$D$6&amp;$E$5&amp;$G$5</f>
        <v>Level II Staff RN - HospitalPDLevel II Step Down Unit RNNo</v>
      </c>
      <c r="E160" t="s">
        <v>91</v>
      </c>
      <c r="F160">
        <v>16</v>
      </c>
    </row>
    <row r="161" spans="3:6" x14ac:dyDescent="0.25">
      <c r="C161" s="21">
        <v>10</v>
      </c>
      <c r="D161" s="26" t="str">
        <f>$B$5&amp;$D$6&amp;$E$6&amp;$G$3</f>
        <v>Level II Staff RN - HospitalPDLevel III Spec Unit Staff RN - Hospital NICU -Transport RN</v>
      </c>
      <c r="E161" t="s">
        <v>91</v>
      </c>
      <c r="F161">
        <v>16</v>
      </c>
    </row>
    <row r="162" spans="3:6" x14ac:dyDescent="0.25">
      <c r="C162" s="21">
        <v>11</v>
      </c>
      <c r="D162" s="26" t="str">
        <f>$B$5&amp;$D$6&amp;$E$6&amp;$G$4</f>
        <v>Level II Staff RN - HospitalPDLevel III Spec Unit Staff RN - Hospital NICU -Transport RNYes</v>
      </c>
      <c r="E162" t="s">
        <v>91</v>
      </c>
      <c r="F162">
        <v>16</v>
      </c>
    </row>
    <row r="163" spans="3:6" x14ac:dyDescent="0.25">
      <c r="C163" s="21">
        <v>12</v>
      </c>
      <c r="D163" s="26" t="str">
        <f>$B$5&amp;$D$6&amp;$E$6&amp;$G$5</f>
        <v>Level II Staff RN - HospitalPDLevel III Spec Unit Staff RN - Hospital NICU -Transport RNNo</v>
      </c>
      <c r="E163" t="s">
        <v>91</v>
      </c>
      <c r="F163">
        <v>16</v>
      </c>
    </row>
    <row r="164" spans="3:6" x14ac:dyDescent="0.25">
      <c r="C164" s="21">
        <v>1</v>
      </c>
      <c r="D164" s="26" t="str">
        <f>$B$6&amp;$D$3&amp;$E$3&amp;$G$3</f>
        <v>Level II Step Down Unit RN</v>
      </c>
      <c r="F164">
        <v>15</v>
      </c>
    </row>
    <row r="165" spans="3:6" x14ac:dyDescent="0.25">
      <c r="C165" s="21">
        <v>2</v>
      </c>
      <c r="D165" s="26" t="str">
        <f>$B$6&amp;$D$3&amp;$E$3&amp;$G$4</f>
        <v>Level II Step Down Unit RNYes</v>
      </c>
      <c r="F165">
        <v>15</v>
      </c>
    </row>
    <row r="166" spans="3:6" x14ac:dyDescent="0.25">
      <c r="C166" s="21">
        <v>3</v>
      </c>
      <c r="D166" s="26" t="str">
        <f>$B$6&amp;$D$3&amp;$E$3&amp;$G$5</f>
        <v>Level II Step Down Unit RNNo</v>
      </c>
      <c r="F166">
        <v>15</v>
      </c>
    </row>
    <row r="167" spans="3:6" x14ac:dyDescent="0.25">
      <c r="C167" s="21">
        <v>4</v>
      </c>
      <c r="D167" s="26" t="str">
        <f>$B$6&amp;$D$3&amp;$E$4&amp;$G$3</f>
        <v>Level II Step Down Unit RNLevel II Staff RN - Hospital</v>
      </c>
      <c r="F167">
        <v>15</v>
      </c>
    </row>
    <row r="168" spans="3:6" x14ac:dyDescent="0.25">
      <c r="C168" s="21">
        <v>5</v>
      </c>
      <c r="D168" s="26" t="str">
        <f>$B$6&amp;$D$3&amp;$E$4&amp;$G$4</f>
        <v>Level II Step Down Unit RNLevel II Staff RN - HospitalYes</v>
      </c>
      <c r="F168">
        <v>15</v>
      </c>
    </row>
    <row r="169" spans="3:6" x14ac:dyDescent="0.25">
      <c r="C169" s="21">
        <v>6</v>
      </c>
      <c r="D169" s="26" t="str">
        <f>$B$6&amp;$D$3&amp;$E$4&amp;$G$5</f>
        <v>Level II Step Down Unit RNLevel II Staff RN - HospitalNo</v>
      </c>
      <c r="F169">
        <v>15</v>
      </c>
    </row>
    <row r="170" spans="3:6" x14ac:dyDescent="0.25">
      <c r="C170" s="21">
        <v>7</v>
      </c>
      <c r="D170" s="26" t="str">
        <f>$B$6&amp;$D$3&amp;$E$5&amp;$G$3</f>
        <v>Level II Step Down Unit RNLevel II Step Down Unit RN</v>
      </c>
      <c r="F170">
        <v>15</v>
      </c>
    </row>
    <row r="171" spans="3:6" x14ac:dyDescent="0.25">
      <c r="C171" s="21">
        <v>8</v>
      </c>
      <c r="D171" s="26" t="str">
        <f>$B$6&amp;$D$3&amp;$E$5&amp;$G$4</f>
        <v>Level II Step Down Unit RNLevel II Step Down Unit RNYes</v>
      </c>
      <c r="F171">
        <v>15</v>
      </c>
    </row>
    <row r="172" spans="3:6" x14ac:dyDescent="0.25">
      <c r="C172" s="21">
        <v>9</v>
      </c>
      <c r="D172" s="26" t="str">
        <f>$B$6&amp;$D$3&amp;$E$5&amp;$G$5</f>
        <v>Level II Step Down Unit RNLevel II Step Down Unit RNNo</v>
      </c>
      <c r="F172">
        <v>15</v>
      </c>
    </row>
    <row r="173" spans="3:6" x14ac:dyDescent="0.25">
      <c r="C173" s="21">
        <v>10</v>
      </c>
      <c r="D173" s="26" t="str">
        <f>$B$6&amp;$D$3&amp;$E$6&amp;$G$3</f>
        <v>Level II Step Down Unit RNLevel III Spec Unit Staff RN - Hospital NICU -Transport RN</v>
      </c>
      <c r="F173">
        <v>15</v>
      </c>
    </row>
    <row r="174" spans="3:6" x14ac:dyDescent="0.25">
      <c r="C174" s="21">
        <v>11</v>
      </c>
      <c r="D174" s="26" t="str">
        <f>$B$6&amp;$D$3&amp;$E$6&amp;$G$4</f>
        <v>Level II Step Down Unit RNLevel III Spec Unit Staff RN - Hospital NICU -Transport RNYes</v>
      </c>
      <c r="F174">
        <v>15</v>
      </c>
    </row>
    <row r="175" spans="3:6" x14ac:dyDescent="0.25">
      <c r="C175" s="21">
        <v>12</v>
      </c>
      <c r="D175" s="26" t="str">
        <f>$B$6&amp;$D$3&amp;$E$6&amp;$G$5</f>
        <v>Level II Step Down Unit RNLevel III Spec Unit Staff RN - Hospital NICU -Transport RNNo</v>
      </c>
      <c r="F175">
        <v>15</v>
      </c>
    </row>
    <row r="176" spans="3:6" x14ac:dyDescent="0.25">
      <c r="C176" s="21">
        <v>1</v>
      </c>
      <c r="D176" s="26" t="str">
        <f>$B$6&amp;$D$4&amp;$E$3&amp;$G$3</f>
        <v>Level II Step Down Unit RNFT</v>
      </c>
      <c r="E176" t="s">
        <v>94</v>
      </c>
      <c r="F176">
        <v>3</v>
      </c>
    </row>
    <row r="177" spans="3:6" x14ac:dyDescent="0.25">
      <c r="C177" s="21">
        <v>2</v>
      </c>
      <c r="D177" s="26" t="str">
        <f>$B$6&amp;$D$4&amp;$E$3&amp;$G$4</f>
        <v>Level II Step Down Unit RNFTYes</v>
      </c>
      <c r="E177" t="s">
        <v>91</v>
      </c>
      <c r="F177">
        <v>16</v>
      </c>
    </row>
    <row r="178" spans="3:6" x14ac:dyDescent="0.25">
      <c r="C178" s="21">
        <v>3</v>
      </c>
      <c r="D178" s="26" t="str">
        <f>$B$6&amp;$D$4&amp;$E$3&amp;$G$5</f>
        <v>Level II Step Down Unit RNFTNo</v>
      </c>
      <c r="E178" t="s">
        <v>91</v>
      </c>
      <c r="F178">
        <v>16</v>
      </c>
    </row>
    <row r="179" spans="3:6" x14ac:dyDescent="0.25">
      <c r="C179" s="21">
        <v>4</v>
      </c>
      <c r="D179" s="26" t="str">
        <f>$B$6&amp;$D$4&amp;$E$4&amp;$G$3</f>
        <v>Level II Step Down Unit RNFTLevel II Staff RN - Hospital</v>
      </c>
      <c r="E179" t="s">
        <v>91</v>
      </c>
      <c r="F179">
        <v>16</v>
      </c>
    </row>
    <row r="180" spans="3:6" x14ac:dyDescent="0.25">
      <c r="C180" s="21">
        <v>5</v>
      </c>
      <c r="D180" s="26" t="str">
        <f>$B$6&amp;$D$4&amp;$E$4&amp;$G$4</f>
        <v>Level II Step Down Unit RNFTLevel II Staff RN - HospitalYes</v>
      </c>
      <c r="E180" t="s">
        <v>91</v>
      </c>
      <c r="F180">
        <v>16</v>
      </c>
    </row>
    <row r="181" spans="3:6" x14ac:dyDescent="0.25">
      <c r="C181" s="21">
        <v>6</v>
      </c>
      <c r="D181" s="26" t="str">
        <f>$B$6&amp;$D$4&amp;$E$4&amp;$G$5</f>
        <v>Level II Step Down Unit RNFTLevel II Staff RN - HospitalNo</v>
      </c>
      <c r="E181" t="s">
        <v>91</v>
      </c>
      <c r="F181">
        <v>16</v>
      </c>
    </row>
    <row r="182" spans="3:6" x14ac:dyDescent="0.25">
      <c r="C182" s="21">
        <v>7</v>
      </c>
      <c r="D182" s="26" t="str">
        <f>$B$6&amp;$D$4&amp;$E$5&amp;$G$3</f>
        <v>Level II Step Down Unit RNFTLevel II Step Down Unit RN</v>
      </c>
      <c r="E182" t="s">
        <v>91</v>
      </c>
      <c r="F182">
        <v>16</v>
      </c>
    </row>
    <row r="183" spans="3:6" x14ac:dyDescent="0.25">
      <c r="C183" s="21">
        <v>8</v>
      </c>
      <c r="D183" s="26" t="str">
        <f>$B$6&amp;$D$4&amp;$E$5&amp;$G$4</f>
        <v>Level II Step Down Unit RNFTLevel II Step Down Unit RNYes</v>
      </c>
      <c r="E183" t="s">
        <v>91</v>
      </c>
      <c r="F183">
        <v>16</v>
      </c>
    </row>
    <row r="184" spans="3:6" x14ac:dyDescent="0.25">
      <c r="C184" s="21">
        <v>9</v>
      </c>
      <c r="D184" s="26" t="str">
        <f>$B$6&amp;$D$4&amp;$E$5&amp;$G$5</f>
        <v>Level II Step Down Unit RNFTLevel II Step Down Unit RNNo</v>
      </c>
      <c r="E184" t="s">
        <v>91</v>
      </c>
      <c r="F184">
        <v>16</v>
      </c>
    </row>
    <row r="185" spans="3:6" x14ac:dyDescent="0.25">
      <c r="C185" s="21">
        <v>10</v>
      </c>
      <c r="D185" s="26" t="str">
        <f>$B$6&amp;$D$4&amp;$E$6&amp;$G$3</f>
        <v>Level II Step Down Unit RNFTLevel III Spec Unit Staff RN - Hospital NICU -Transport RN</v>
      </c>
      <c r="E185" t="s">
        <v>91</v>
      </c>
      <c r="F185">
        <v>16</v>
      </c>
    </row>
    <row r="186" spans="3:6" x14ac:dyDescent="0.25">
      <c r="C186" s="21">
        <v>11</v>
      </c>
      <c r="D186" s="26" t="str">
        <f>$B$6&amp;$D$4&amp;$E$6&amp;$G$4</f>
        <v>Level II Step Down Unit RNFTLevel III Spec Unit Staff RN - Hospital NICU -Transport RNYes</v>
      </c>
      <c r="E186" t="s">
        <v>91</v>
      </c>
      <c r="F186">
        <v>16</v>
      </c>
    </row>
    <row r="187" spans="3:6" x14ac:dyDescent="0.25">
      <c r="C187" s="21">
        <v>12</v>
      </c>
      <c r="D187" s="26" t="str">
        <f>$B$6&amp;$D$4&amp;$E$6&amp;$G$5</f>
        <v>Level II Step Down Unit RNFTLevel III Spec Unit Staff RN - Hospital NICU -Transport RNNo</v>
      </c>
      <c r="E187" t="s">
        <v>91</v>
      </c>
      <c r="F187">
        <v>16</v>
      </c>
    </row>
    <row r="188" spans="3:6" x14ac:dyDescent="0.25">
      <c r="C188" s="21">
        <v>1</v>
      </c>
      <c r="D188" s="26" t="str">
        <f>$B$6&amp;$D$5&amp;$E$3&amp;$G$3</f>
        <v>Level II Step Down Unit RNPT</v>
      </c>
      <c r="E188" t="s">
        <v>94</v>
      </c>
      <c r="F188">
        <v>3</v>
      </c>
    </row>
    <row r="189" spans="3:6" x14ac:dyDescent="0.25">
      <c r="C189" s="21">
        <v>2</v>
      </c>
      <c r="D189" s="26" t="str">
        <f>$B$6&amp;$D$5&amp;$E$3&amp;$G$4</f>
        <v>Level II Step Down Unit RNPTYes</v>
      </c>
      <c r="E189" t="s">
        <v>91</v>
      </c>
      <c r="F189">
        <v>16</v>
      </c>
    </row>
    <row r="190" spans="3:6" x14ac:dyDescent="0.25">
      <c r="C190" s="21">
        <v>3</v>
      </c>
      <c r="D190" s="26" t="str">
        <f>$B$6&amp;$D$5&amp;$E$3&amp;$G$5</f>
        <v>Level II Step Down Unit RNPTNo</v>
      </c>
      <c r="E190" t="s">
        <v>91</v>
      </c>
      <c r="F190">
        <v>16</v>
      </c>
    </row>
    <row r="191" spans="3:6" x14ac:dyDescent="0.25">
      <c r="C191" s="21">
        <v>4</v>
      </c>
      <c r="D191" s="26" t="str">
        <f>$B$6&amp;$D$5&amp;$E$4&amp;$G$3</f>
        <v>Level II Step Down Unit RNPTLevel II Staff RN - Hospital</v>
      </c>
      <c r="E191" t="s">
        <v>91</v>
      </c>
      <c r="F191">
        <v>16</v>
      </c>
    </row>
    <row r="192" spans="3:6" x14ac:dyDescent="0.25">
      <c r="C192" s="21">
        <v>5</v>
      </c>
      <c r="D192" s="26" t="str">
        <f>$B$6&amp;$D$5&amp;$E$4&amp;$G$4</f>
        <v>Level II Step Down Unit RNPTLevel II Staff RN - HospitalYes</v>
      </c>
      <c r="E192" t="s">
        <v>91</v>
      </c>
      <c r="F192">
        <v>16</v>
      </c>
    </row>
    <row r="193" spans="3:6" x14ac:dyDescent="0.25">
      <c r="C193" s="21">
        <v>6</v>
      </c>
      <c r="D193" s="26" t="str">
        <f>$B$6&amp;$D$5&amp;$E$4&amp;$G$5</f>
        <v>Level II Step Down Unit RNPTLevel II Staff RN - HospitalNo</v>
      </c>
      <c r="E193" t="s">
        <v>91</v>
      </c>
      <c r="F193">
        <v>16</v>
      </c>
    </row>
    <row r="194" spans="3:6" x14ac:dyDescent="0.25">
      <c r="C194" s="21">
        <v>7</v>
      </c>
      <c r="D194" s="26" t="str">
        <f>$B$6&amp;$D$5&amp;$E$5&amp;$G$3</f>
        <v>Level II Step Down Unit RNPTLevel II Step Down Unit RN</v>
      </c>
      <c r="E194" t="s">
        <v>91</v>
      </c>
      <c r="F194">
        <v>16</v>
      </c>
    </row>
    <row r="195" spans="3:6" x14ac:dyDescent="0.25">
      <c r="C195" s="21">
        <v>8</v>
      </c>
      <c r="D195" s="26" t="str">
        <f>$B$6&amp;$D$5&amp;$E$5&amp;$G$4</f>
        <v>Level II Step Down Unit RNPTLevel II Step Down Unit RNYes</v>
      </c>
      <c r="E195" t="s">
        <v>91</v>
      </c>
      <c r="F195">
        <v>16</v>
      </c>
    </row>
    <row r="196" spans="3:6" x14ac:dyDescent="0.25">
      <c r="C196" s="21">
        <v>9</v>
      </c>
      <c r="D196" s="26" t="str">
        <f>$B$6&amp;$D$5&amp;$E$5&amp;$G$5</f>
        <v>Level II Step Down Unit RNPTLevel II Step Down Unit RNNo</v>
      </c>
      <c r="E196" t="s">
        <v>91</v>
      </c>
      <c r="F196">
        <v>16</v>
      </c>
    </row>
    <row r="197" spans="3:6" x14ac:dyDescent="0.25">
      <c r="C197" s="21">
        <v>10</v>
      </c>
      <c r="D197" s="26" t="str">
        <f>$B$6&amp;$D$5&amp;$E$6&amp;$G$3</f>
        <v>Level II Step Down Unit RNPTLevel III Spec Unit Staff RN - Hospital NICU -Transport RN</v>
      </c>
      <c r="E197" t="s">
        <v>91</v>
      </c>
      <c r="F197">
        <v>16</v>
      </c>
    </row>
    <row r="198" spans="3:6" x14ac:dyDescent="0.25">
      <c r="C198" s="21">
        <v>11</v>
      </c>
      <c r="D198" s="26" t="str">
        <f>$B$6&amp;$D$5&amp;$E$6&amp;$G$4</f>
        <v>Level II Step Down Unit RNPTLevel III Spec Unit Staff RN - Hospital NICU -Transport RNYes</v>
      </c>
      <c r="E198" t="s">
        <v>91</v>
      </c>
      <c r="F198">
        <v>16</v>
      </c>
    </row>
    <row r="199" spans="3:6" x14ac:dyDescent="0.25">
      <c r="C199" s="21">
        <v>12</v>
      </c>
      <c r="D199" s="26" t="str">
        <f>$B$6&amp;$D$5&amp;$E$6&amp;$G$5</f>
        <v>Level II Step Down Unit RNPTLevel III Spec Unit Staff RN - Hospital NICU -Transport RNNo</v>
      </c>
      <c r="E199" t="s">
        <v>91</v>
      </c>
      <c r="F199">
        <v>16</v>
      </c>
    </row>
    <row r="200" spans="3:6" x14ac:dyDescent="0.25">
      <c r="C200" s="21">
        <v>1</v>
      </c>
      <c r="D200" s="26" t="str">
        <f>$B$6&amp;$D$6&amp;$E$3&amp;$G$3</f>
        <v>Level II Step Down Unit RNPD</v>
      </c>
      <c r="E200" t="s">
        <v>95</v>
      </c>
      <c r="F200">
        <v>10</v>
      </c>
    </row>
    <row r="201" spans="3:6" x14ac:dyDescent="0.25">
      <c r="C201" s="21">
        <v>2</v>
      </c>
      <c r="D201" s="26" t="str">
        <f>$B$6&amp;$D$6&amp;$E$3&amp;$G$4</f>
        <v>Level II Step Down Unit RNPDYes</v>
      </c>
      <c r="E201" t="s">
        <v>91</v>
      </c>
      <c r="F201">
        <v>16</v>
      </c>
    </row>
    <row r="202" spans="3:6" x14ac:dyDescent="0.25">
      <c r="C202" s="21">
        <v>3</v>
      </c>
      <c r="D202" s="26" t="str">
        <f>$B$6&amp;$D$6&amp;$E$3&amp;$G$5</f>
        <v>Level II Step Down Unit RNPDNo</v>
      </c>
      <c r="E202" t="s">
        <v>91</v>
      </c>
      <c r="F202">
        <v>16</v>
      </c>
    </row>
    <row r="203" spans="3:6" x14ac:dyDescent="0.25">
      <c r="C203" s="21">
        <v>4</v>
      </c>
      <c r="D203" s="26" t="str">
        <f>$B$6&amp;$D$6&amp;$E$4&amp;$G$3</f>
        <v>Level II Step Down Unit RNPDLevel II Staff RN - Hospital</v>
      </c>
      <c r="E203" t="s">
        <v>91</v>
      </c>
      <c r="F203">
        <v>16</v>
      </c>
    </row>
    <row r="204" spans="3:6" x14ac:dyDescent="0.25">
      <c r="C204" s="21">
        <v>5</v>
      </c>
      <c r="D204" s="26" t="str">
        <f>$B$6&amp;$D$6&amp;$E$4&amp;$G$4</f>
        <v>Level II Step Down Unit RNPDLevel II Staff RN - HospitalYes</v>
      </c>
      <c r="E204" t="s">
        <v>91</v>
      </c>
      <c r="F204">
        <v>16</v>
      </c>
    </row>
    <row r="205" spans="3:6" x14ac:dyDescent="0.25">
      <c r="C205" s="21">
        <v>6</v>
      </c>
      <c r="D205" s="26" t="str">
        <f>$B$6&amp;$D$6&amp;$E$4&amp;$G$5</f>
        <v>Level II Step Down Unit RNPDLevel II Staff RN - HospitalNo</v>
      </c>
      <c r="E205" t="s">
        <v>91</v>
      </c>
      <c r="F205">
        <v>16</v>
      </c>
    </row>
    <row r="206" spans="3:6" x14ac:dyDescent="0.25">
      <c r="C206" s="21">
        <v>7</v>
      </c>
      <c r="D206" s="26" t="str">
        <f>$B$6&amp;$D$6&amp;$E$5&amp;$G$3</f>
        <v>Level II Step Down Unit RNPDLevel II Step Down Unit RN</v>
      </c>
      <c r="E206" t="s">
        <v>91</v>
      </c>
      <c r="F206">
        <v>16</v>
      </c>
    </row>
    <row r="207" spans="3:6" x14ac:dyDescent="0.25">
      <c r="C207" s="21">
        <v>8</v>
      </c>
      <c r="D207" s="26" t="str">
        <f>$B$6&amp;$D$6&amp;$E$5&amp;$G$4</f>
        <v>Level II Step Down Unit RNPDLevel II Step Down Unit RNYes</v>
      </c>
      <c r="E207" t="s">
        <v>91</v>
      </c>
      <c r="F207">
        <v>16</v>
      </c>
    </row>
    <row r="208" spans="3:6" x14ac:dyDescent="0.25">
      <c r="C208" s="21">
        <v>9</v>
      </c>
      <c r="D208" s="26" t="str">
        <f>$B$6&amp;$D$6&amp;$E$5&amp;$G$5</f>
        <v>Level II Step Down Unit RNPDLevel II Step Down Unit RNNo</v>
      </c>
      <c r="E208" t="s">
        <v>91</v>
      </c>
      <c r="F208">
        <v>16</v>
      </c>
    </row>
    <row r="209" spans="3:6" x14ac:dyDescent="0.25">
      <c r="C209" s="21">
        <v>10</v>
      </c>
      <c r="D209" s="26" t="str">
        <f>$B$6&amp;$D$6&amp;$E$6&amp;$G$3</f>
        <v>Level II Step Down Unit RNPDLevel III Spec Unit Staff RN - Hospital NICU -Transport RN</v>
      </c>
      <c r="E209" t="s">
        <v>91</v>
      </c>
      <c r="F209">
        <v>16</v>
      </c>
    </row>
    <row r="210" spans="3:6" x14ac:dyDescent="0.25">
      <c r="C210" s="21">
        <v>11</v>
      </c>
      <c r="D210" s="26" t="str">
        <f>$B$6&amp;$D$6&amp;$E$6&amp;$G$4</f>
        <v>Level II Step Down Unit RNPDLevel III Spec Unit Staff RN - Hospital NICU -Transport RNYes</v>
      </c>
      <c r="E210" t="s">
        <v>91</v>
      </c>
      <c r="F210">
        <v>16</v>
      </c>
    </row>
    <row r="211" spans="3:6" x14ac:dyDescent="0.25">
      <c r="C211" s="21">
        <v>12</v>
      </c>
      <c r="D211" s="26" t="str">
        <f>$B$6&amp;$D$6&amp;$E$6&amp;$G$5</f>
        <v>Level II Step Down Unit RNPDLevel III Spec Unit Staff RN - Hospital NICU -Transport RNNo</v>
      </c>
      <c r="E211" t="s">
        <v>91</v>
      </c>
      <c r="F211">
        <v>16</v>
      </c>
    </row>
    <row r="212" spans="3:6" x14ac:dyDescent="0.25">
      <c r="C212" s="21">
        <v>1</v>
      </c>
      <c r="D212" s="26" t="str">
        <f>$B$7&amp;$D$3&amp;$E$3&amp;$G$3</f>
        <v>Level III Spec Unit Staff RN - Hospital NICU -Transport RN</v>
      </c>
      <c r="F212">
        <v>15</v>
      </c>
    </row>
    <row r="213" spans="3:6" x14ac:dyDescent="0.25">
      <c r="C213" s="21">
        <v>2</v>
      </c>
      <c r="D213" s="26" t="str">
        <f>$B$7&amp;$D$3&amp;$E$3&amp;$G$4</f>
        <v>Level III Spec Unit Staff RN - Hospital NICU -Transport RNYes</v>
      </c>
      <c r="F213">
        <v>15</v>
      </c>
    </row>
    <row r="214" spans="3:6" x14ac:dyDescent="0.25">
      <c r="C214" s="21">
        <v>3</v>
      </c>
      <c r="D214" s="26" t="str">
        <f>$B$7&amp;$D$3&amp;$E$3&amp;$G$5</f>
        <v>Level III Spec Unit Staff RN - Hospital NICU -Transport RNNo</v>
      </c>
      <c r="F214">
        <v>15</v>
      </c>
    </row>
    <row r="215" spans="3:6" x14ac:dyDescent="0.25">
      <c r="C215" s="21">
        <v>4</v>
      </c>
      <c r="D215" s="26" t="str">
        <f>$B$7&amp;$D$3&amp;$E$4&amp;$G$3</f>
        <v>Level III Spec Unit Staff RN - Hospital NICU -Transport RNLevel II Staff RN - Hospital</v>
      </c>
      <c r="F215">
        <v>15</v>
      </c>
    </row>
    <row r="216" spans="3:6" x14ac:dyDescent="0.25">
      <c r="C216" s="21">
        <v>5</v>
      </c>
      <c r="D216" s="26" t="str">
        <f>$B$7&amp;$D$3&amp;$E$4&amp;$G$4</f>
        <v>Level III Spec Unit Staff RN - Hospital NICU -Transport RNLevel II Staff RN - HospitalYes</v>
      </c>
      <c r="F216">
        <v>15</v>
      </c>
    </row>
    <row r="217" spans="3:6" x14ac:dyDescent="0.25">
      <c r="C217" s="21">
        <v>6</v>
      </c>
      <c r="D217" s="26" t="str">
        <f>$B$7&amp;$D$3&amp;$E$4&amp;$G$5</f>
        <v>Level III Spec Unit Staff RN - Hospital NICU -Transport RNLevel II Staff RN - HospitalNo</v>
      </c>
      <c r="F217">
        <v>15</v>
      </c>
    </row>
    <row r="218" spans="3:6" x14ac:dyDescent="0.25">
      <c r="C218" s="21">
        <v>7</v>
      </c>
      <c r="D218" s="26" t="str">
        <f>$B$7&amp;$D$3&amp;$E$5&amp;$G$3</f>
        <v>Level III Spec Unit Staff RN - Hospital NICU -Transport RNLevel II Step Down Unit RN</v>
      </c>
      <c r="F218">
        <v>15</v>
      </c>
    </row>
    <row r="219" spans="3:6" x14ac:dyDescent="0.25">
      <c r="C219" s="21">
        <v>8</v>
      </c>
      <c r="D219" s="26" t="str">
        <f>$B$7&amp;$D$3&amp;$E$5&amp;$G$4</f>
        <v>Level III Spec Unit Staff RN - Hospital NICU -Transport RNLevel II Step Down Unit RNYes</v>
      </c>
      <c r="F219">
        <v>15</v>
      </c>
    </row>
    <row r="220" spans="3:6" x14ac:dyDescent="0.25">
      <c r="C220" s="21">
        <v>9</v>
      </c>
      <c r="D220" s="26" t="str">
        <f>$B$7&amp;$D$3&amp;$E$5&amp;$G$5</f>
        <v>Level III Spec Unit Staff RN - Hospital NICU -Transport RNLevel II Step Down Unit RNNo</v>
      </c>
      <c r="F220">
        <v>15</v>
      </c>
    </row>
    <row r="221" spans="3:6" x14ac:dyDescent="0.25">
      <c r="C221" s="21">
        <v>10</v>
      </c>
      <c r="D221" s="26" t="str">
        <f>$B$7&amp;$D$3&amp;$E$6&amp;$G$3</f>
        <v>Level III Spec Unit Staff RN - Hospital NICU -Transport RNLevel III Spec Unit Staff RN - Hospital NICU -Transport RN</v>
      </c>
      <c r="F221">
        <v>15</v>
      </c>
    </row>
    <row r="222" spans="3:6" x14ac:dyDescent="0.25">
      <c r="C222" s="21">
        <v>11</v>
      </c>
      <c r="D222" s="26" t="str">
        <f>$B$7&amp;$D$3&amp;$E$6&amp;$G$4</f>
        <v>Level III Spec Unit Staff RN - Hospital NICU -Transport RNLevel III Spec Unit Staff RN - Hospital NICU -Transport RNYes</v>
      </c>
      <c r="F222">
        <v>15</v>
      </c>
    </row>
    <row r="223" spans="3:6" x14ac:dyDescent="0.25">
      <c r="C223" s="21">
        <v>12</v>
      </c>
      <c r="D223" s="26" t="str">
        <f>$B$7&amp;$D$3&amp;$E$6&amp;$G$5</f>
        <v>Level III Spec Unit Staff RN - Hospital NICU -Transport RNLevel III Spec Unit Staff RN - Hospital NICU -Transport RNNo</v>
      </c>
      <c r="F223">
        <v>15</v>
      </c>
    </row>
    <row r="224" spans="3:6" x14ac:dyDescent="0.25">
      <c r="C224" s="21">
        <v>1</v>
      </c>
      <c r="D224" s="26" t="str">
        <f>$B$7&amp;$D$4&amp;$E$3&amp;$G$3</f>
        <v>Level III Spec Unit Staff RN - Hospital NICU -Transport RNFT</v>
      </c>
      <c r="E224" t="s">
        <v>94</v>
      </c>
      <c r="F224">
        <v>3</v>
      </c>
    </row>
    <row r="225" spans="3:6" x14ac:dyDescent="0.25">
      <c r="C225" s="21">
        <v>2</v>
      </c>
      <c r="D225" s="26" t="str">
        <f>$B$7&amp;$D$4&amp;$E$3&amp;$G$4</f>
        <v>Level III Spec Unit Staff RN - Hospital NICU -Transport RNFTYes</v>
      </c>
      <c r="E225" t="s">
        <v>91</v>
      </c>
      <c r="F225">
        <v>16</v>
      </c>
    </row>
    <row r="226" spans="3:6" x14ac:dyDescent="0.25">
      <c r="C226" s="21">
        <v>3</v>
      </c>
      <c r="D226" s="26" t="str">
        <f>$B$7&amp;$D$4&amp;$E$3&amp;$G$5</f>
        <v>Level III Spec Unit Staff RN - Hospital NICU -Transport RNFTNo</v>
      </c>
      <c r="E226" t="s">
        <v>91</v>
      </c>
      <c r="F226">
        <v>16</v>
      </c>
    </row>
    <row r="227" spans="3:6" x14ac:dyDescent="0.25">
      <c r="C227" s="21">
        <v>4</v>
      </c>
      <c r="D227" s="26" t="str">
        <f>$B$7&amp;$D$4&amp;$E$4&amp;$G$3</f>
        <v>Level III Spec Unit Staff RN - Hospital NICU -Transport RNFTLevel II Staff RN - Hospital</v>
      </c>
      <c r="E227" t="s">
        <v>91</v>
      </c>
      <c r="F227">
        <v>16</v>
      </c>
    </row>
    <row r="228" spans="3:6" x14ac:dyDescent="0.25">
      <c r="C228" s="21">
        <v>5</v>
      </c>
      <c r="D228" s="26" t="str">
        <f>$B$7&amp;$D$4&amp;$E$4&amp;$G$4</f>
        <v>Level III Spec Unit Staff RN - Hospital NICU -Transport RNFTLevel II Staff RN - HospitalYes</v>
      </c>
      <c r="E228" t="s">
        <v>91</v>
      </c>
      <c r="F228">
        <v>16</v>
      </c>
    </row>
    <row r="229" spans="3:6" x14ac:dyDescent="0.25">
      <c r="C229" s="21">
        <v>6</v>
      </c>
      <c r="D229" s="26" t="str">
        <f>$B$7&amp;$D$4&amp;$E$4&amp;$G$5</f>
        <v>Level III Spec Unit Staff RN - Hospital NICU -Transport RNFTLevel II Staff RN - HospitalNo</v>
      </c>
      <c r="E229" t="s">
        <v>91</v>
      </c>
      <c r="F229">
        <v>16</v>
      </c>
    </row>
    <row r="230" spans="3:6" x14ac:dyDescent="0.25">
      <c r="C230" s="21">
        <v>7</v>
      </c>
      <c r="D230" s="26" t="str">
        <f>$B$7&amp;$D$4&amp;$E$5&amp;$G$3</f>
        <v>Level III Spec Unit Staff RN - Hospital NICU -Transport RNFTLevel II Step Down Unit RN</v>
      </c>
      <c r="E230" t="s">
        <v>91</v>
      </c>
      <c r="F230">
        <v>16</v>
      </c>
    </row>
    <row r="231" spans="3:6" x14ac:dyDescent="0.25">
      <c r="C231" s="21">
        <v>8</v>
      </c>
      <c r="D231" s="26" t="str">
        <f>$B$7&amp;$D$4&amp;$E$5&amp;$G$4</f>
        <v>Level III Spec Unit Staff RN - Hospital NICU -Transport RNFTLevel II Step Down Unit RNYes</v>
      </c>
      <c r="E231" t="s">
        <v>91</v>
      </c>
      <c r="F231">
        <v>16</v>
      </c>
    </row>
    <row r="232" spans="3:6" x14ac:dyDescent="0.25">
      <c r="C232" s="21">
        <v>9</v>
      </c>
      <c r="D232" s="26" t="str">
        <f>$B$7&amp;$D$4&amp;$E$5&amp;$G$5</f>
        <v>Level III Spec Unit Staff RN - Hospital NICU -Transport RNFTLevel II Step Down Unit RNNo</v>
      </c>
      <c r="E232" t="s">
        <v>91</v>
      </c>
      <c r="F232">
        <v>16</v>
      </c>
    </row>
    <row r="233" spans="3:6" x14ac:dyDescent="0.25">
      <c r="C233" s="21">
        <v>10</v>
      </c>
      <c r="D233" s="26" t="str">
        <f>$B$7&amp;$D$4&amp;$E$6&amp;$G$3</f>
        <v>Level III Spec Unit Staff RN - Hospital NICU -Transport RNFTLevel III Spec Unit Staff RN - Hospital NICU -Transport RN</v>
      </c>
      <c r="E233" t="s">
        <v>91</v>
      </c>
      <c r="F233">
        <v>16</v>
      </c>
    </row>
    <row r="234" spans="3:6" x14ac:dyDescent="0.25">
      <c r="C234" s="21">
        <v>11</v>
      </c>
      <c r="D234" s="26" t="str">
        <f>$B$7&amp;$D$4&amp;$E$6&amp;$G$4</f>
        <v>Level III Spec Unit Staff RN - Hospital NICU -Transport RNFTLevel III Spec Unit Staff RN - Hospital NICU -Transport RNYes</v>
      </c>
      <c r="E234" t="s">
        <v>91</v>
      </c>
      <c r="F234">
        <v>16</v>
      </c>
    </row>
    <row r="235" spans="3:6" x14ac:dyDescent="0.25">
      <c r="C235" s="21">
        <v>12</v>
      </c>
      <c r="D235" s="26" t="str">
        <f>$B$7&amp;$D$4&amp;$E$6&amp;$G$5</f>
        <v>Level III Spec Unit Staff RN - Hospital NICU -Transport RNFTLevel III Spec Unit Staff RN - Hospital NICU -Transport RNNo</v>
      </c>
      <c r="E235" t="s">
        <v>91</v>
      </c>
      <c r="F235">
        <v>16</v>
      </c>
    </row>
    <row r="236" spans="3:6" x14ac:dyDescent="0.25">
      <c r="C236" s="21">
        <v>1</v>
      </c>
      <c r="D236" s="26" t="str">
        <f>$B$7&amp;$D$5&amp;$E$3&amp;$G$3</f>
        <v>Level III Spec Unit Staff RN - Hospital NICU -Transport RNPT</v>
      </c>
      <c r="E236" t="s">
        <v>94</v>
      </c>
      <c r="F236">
        <v>3</v>
      </c>
    </row>
    <row r="237" spans="3:6" x14ac:dyDescent="0.25">
      <c r="C237" s="21">
        <v>2</v>
      </c>
      <c r="D237" s="26" t="str">
        <f>$B$7&amp;$D$5&amp;$E$3&amp;$G$4</f>
        <v>Level III Spec Unit Staff RN - Hospital NICU -Transport RNPTYes</v>
      </c>
      <c r="E237" t="s">
        <v>91</v>
      </c>
      <c r="F237">
        <v>16</v>
      </c>
    </row>
    <row r="238" spans="3:6" x14ac:dyDescent="0.25">
      <c r="C238" s="21">
        <v>3</v>
      </c>
      <c r="D238" s="26" t="str">
        <f>$B$7&amp;$D$5&amp;$E$3&amp;$G$5</f>
        <v>Level III Spec Unit Staff RN - Hospital NICU -Transport RNPTNo</v>
      </c>
      <c r="E238" t="s">
        <v>91</v>
      </c>
      <c r="F238">
        <v>16</v>
      </c>
    </row>
    <row r="239" spans="3:6" x14ac:dyDescent="0.25">
      <c r="C239" s="21">
        <v>4</v>
      </c>
      <c r="D239" s="26" t="str">
        <f>$B$7&amp;$D$5&amp;$E$4&amp;$G$3</f>
        <v>Level III Spec Unit Staff RN - Hospital NICU -Transport RNPTLevel II Staff RN - Hospital</v>
      </c>
      <c r="E239" t="s">
        <v>91</v>
      </c>
      <c r="F239">
        <v>16</v>
      </c>
    </row>
    <row r="240" spans="3:6" x14ac:dyDescent="0.25">
      <c r="C240" s="21">
        <v>5</v>
      </c>
      <c r="D240" s="26" t="str">
        <f>$B$7&amp;$D$5&amp;$E$4&amp;$G$4</f>
        <v>Level III Spec Unit Staff RN - Hospital NICU -Transport RNPTLevel II Staff RN - HospitalYes</v>
      </c>
      <c r="E240" t="s">
        <v>91</v>
      </c>
      <c r="F240">
        <v>16</v>
      </c>
    </row>
    <row r="241" spans="3:6" x14ac:dyDescent="0.25">
      <c r="C241" s="21">
        <v>6</v>
      </c>
      <c r="D241" s="26" t="str">
        <f>$B$7&amp;$D$5&amp;$E$4&amp;$G$5</f>
        <v>Level III Spec Unit Staff RN - Hospital NICU -Transport RNPTLevel II Staff RN - HospitalNo</v>
      </c>
      <c r="E241" t="s">
        <v>91</v>
      </c>
      <c r="F241">
        <v>16</v>
      </c>
    </row>
    <row r="242" spans="3:6" x14ac:dyDescent="0.25">
      <c r="C242" s="21">
        <v>7</v>
      </c>
      <c r="D242" s="26" t="str">
        <f>$B$7&amp;$D$5&amp;$E$5&amp;$G$3</f>
        <v>Level III Spec Unit Staff RN - Hospital NICU -Transport RNPTLevel II Step Down Unit RN</v>
      </c>
      <c r="E242" t="s">
        <v>91</v>
      </c>
      <c r="F242">
        <v>16</v>
      </c>
    </row>
    <row r="243" spans="3:6" x14ac:dyDescent="0.25">
      <c r="C243" s="21">
        <v>8</v>
      </c>
      <c r="D243" s="26" t="str">
        <f>$B$7&amp;$D$5&amp;$E$5&amp;$G$4</f>
        <v>Level III Spec Unit Staff RN - Hospital NICU -Transport RNPTLevel II Step Down Unit RNYes</v>
      </c>
      <c r="E243" t="s">
        <v>91</v>
      </c>
      <c r="F243">
        <v>16</v>
      </c>
    </row>
    <row r="244" spans="3:6" x14ac:dyDescent="0.25">
      <c r="C244" s="21">
        <v>9</v>
      </c>
      <c r="D244" s="26" t="str">
        <f>$B$7&amp;$D$5&amp;$E$5&amp;$G$5</f>
        <v>Level III Spec Unit Staff RN - Hospital NICU -Transport RNPTLevel II Step Down Unit RNNo</v>
      </c>
      <c r="E244" t="s">
        <v>91</v>
      </c>
      <c r="F244">
        <v>16</v>
      </c>
    </row>
    <row r="245" spans="3:6" x14ac:dyDescent="0.25">
      <c r="C245" s="21">
        <v>10</v>
      </c>
      <c r="D245" s="26" t="str">
        <f>$B$7&amp;$D$5&amp;$E$6&amp;$G$3</f>
        <v>Level III Spec Unit Staff RN - Hospital NICU -Transport RNPTLevel III Spec Unit Staff RN - Hospital NICU -Transport RN</v>
      </c>
      <c r="E245" t="s">
        <v>91</v>
      </c>
      <c r="F245">
        <v>16</v>
      </c>
    </row>
    <row r="246" spans="3:6" x14ac:dyDescent="0.25">
      <c r="C246" s="21">
        <v>11</v>
      </c>
      <c r="D246" s="26" t="str">
        <f>$B$7&amp;$D$5&amp;$E$6&amp;$G$4</f>
        <v>Level III Spec Unit Staff RN - Hospital NICU -Transport RNPTLevel III Spec Unit Staff RN - Hospital NICU -Transport RNYes</v>
      </c>
      <c r="E246" t="s">
        <v>91</v>
      </c>
      <c r="F246">
        <v>16</v>
      </c>
    </row>
    <row r="247" spans="3:6" x14ac:dyDescent="0.25">
      <c r="C247" s="21">
        <v>12</v>
      </c>
      <c r="D247" s="26" t="str">
        <f>$B$7&amp;$D$5&amp;$E$6&amp;$G$5</f>
        <v>Level III Spec Unit Staff RN - Hospital NICU -Transport RNPTLevel III Spec Unit Staff RN - Hospital NICU -Transport RNNo</v>
      </c>
      <c r="E247" t="s">
        <v>91</v>
      </c>
      <c r="F247">
        <v>16</v>
      </c>
    </row>
    <row r="248" spans="3:6" x14ac:dyDescent="0.25">
      <c r="C248" s="21">
        <v>1</v>
      </c>
      <c r="D248" s="26" t="str">
        <f>$B$7&amp;$D$6&amp;$E$3&amp;$G$3</f>
        <v>Level III Spec Unit Staff RN - Hospital NICU -Transport RNPD</v>
      </c>
      <c r="E248" t="s">
        <v>95</v>
      </c>
      <c r="F248">
        <v>10</v>
      </c>
    </row>
    <row r="249" spans="3:6" x14ac:dyDescent="0.25">
      <c r="C249" s="21">
        <v>2</v>
      </c>
      <c r="D249" s="26" t="str">
        <f>$B$7&amp;$D$6&amp;$E$3&amp;$G$4</f>
        <v>Level III Spec Unit Staff RN - Hospital NICU -Transport RNPDYes</v>
      </c>
      <c r="E249" t="s">
        <v>91</v>
      </c>
      <c r="F249">
        <v>16</v>
      </c>
    </row>
    <row r="250" spans="3:6" x14ac:dyDescent="0.25">
      <c r="C250" s="21">
        <v>3</v>
      </c>
      <c r="D250" s="26" t="str">
        <f>$B$7&amp;$D$6&amp;$E$3&amp;$G$5</f>
        <v>Level III Spec Unit Staff RN - Hospital NICU -Transport RNPDNo</v>
      </c>
      <c r="E250" t="s">
        <v>91</v>
      </c>
      <c r="F250">
        <v>16</v>
      </c>
    </row>
    <row r="251" spans="3:6" x14ac:dyDescent="0.25">
      <c r="C251" s="21">
        <v>4</v>
      </c>
      <c r="D251" s="26" t="str">
        <f>$B$7&amp;$D$6&amp;$E$4&amp;$G$3</f>
        <v>Level III Spec Unit Staff RN - Hospital NICU -Transport RNPDLevel II Staff RN - Hospital</v>
      </c>
      <c r="E251" t="s">
        <v>91</v>
      </c>
      <c r="F251">
        <v>16</v>
      </c>
    </row>
    <row r="252" spans="3:6" x14ac:dyDescent="0.25">
      <c r="C252" s="21">
        <v>5</v>
      </c>
      <c r="D252" s="26" t="str">
        <f>$B$7&amp;$D$6&amp;$E$4&amp;$G$4</f>
        <v>Level III Spec Unit Staff RN - Hospital NICU -Transport RNPDLevel II Staff RN - HospitalYes</v>
      </c>
      <c r="E252" t="s">
        <v>91</v>
      </c>
      <c r="F252">
        <v>16</v>
      </c>
    </row>
    <row r="253" spans="3:6" x14ac:dyDescent="0.25">
      <c r="C253" s="21">
        <v>6</v>
      </c>
      <c r="D253" s="26" t="str">
        <f>$B$7&amp;$D$6&amp;$E$4&amp;$G$5</f>
        <v>Level III Spec Unit Staff RN - Hospital NICU -Transport RNPDLevel II Staff RN - HospitalNo</v>
      </c>
      <c r="E253" t="s">
        <v>91</v>
      </c>
      <c r="F253">
        <v>16</v>
      </c>
    </row>
    <row r="254" spans="3:6" x14ac:dyDescent="0.25">
      <c r="C254" s="21">
        <v>7</v>
      </c>
      <c r="D254" s="26" t="str">
        <f>$B$7&amp;$D$6&amp;$E$5&amp;$G$3</f>
        <v>Level III Spec Unit Staff RN - Hospital NICU -Transport RNPDLevel II Step Down Unit RN</v>
      </c>
      <c r="E254" t="s">
        <v>91</v>
      </c>
      <c r="F254">
        <v>16</v>
      </c>
    </row>
    <row r="255" spans="3:6" x14ac:dyDescent="0.25">
      <c r="C255" s="21">
        <v>8</v>
      </c>
      <c r="D255" s="26" t="str">
        <f>$B$7&amp;$D$6&amp;$E$5&amp;$G$4</f>
        <v>Level III Spec Unit Staff RN - Hospital NICU -Transport RNPDLevel II Step Down Unit RNYes</v>
      </c>
      <c r="E255" t="s">
        <v>91</v>
      </c>
      <c r="F255">
        <v>16</v>
      </c>
    </row>
    <row r="256" spans="3:6" x14ac:dyDescent="0.25">
      <c r="C256" s="21">
        <v>9</v>
      </c>
      <c r="D256" s="26" t="str">
        <f>$B$7&amp;$D$6&amp;$E$5&amp;$G$5</f>
        <v>Level III Spec Unit Staff RN - Hospital NICU -Transport RNPDLevel II Step Down Unit RNNo</v>
      </c>
      <c r="E256" t="s">
        <v>91</v>
      </c>
      <c r="F256">
        <v>16</v>
      </c>
    </row>
    <row r="257" spans="3:6" x14ac:dyDescent="0.25">
      <c r="C257" s="21">
        <v>10</v>
      </c>
      <c r="D257" s="26" t="str">
        <f>$B$7&amp;$D$6&amp;$E$6&amp;$G$3</f>
        <v>Level III Spec Unit Staff RN - Hospital NICU -Transport RNPDLevel III Spec Unit Staff RN - Hospital NICU -Transport RN</v>
      </c>
      <c r="E257" t="s">
        <v>91</v>
      </c>
      <c r="F257">
        <v>16</v>
      </c>
    </row>
    <row r="258" spans="3:6" x14ac:dyDescent="0.25">
      <c r="C258" s="21">
        <v>11</v>
      </c>
      <c r="D258" s="26" t="str">
        <f>$B$7&amp;$D$6&amp;$E$6&amp;$G$4</f>
        <v>Level III Spec Unit Staff RN - Hospital NICU -Transport RNPDLevel III Spec Unit Staff RN - Hospital NICU -Transport RNYes</v>
      </c>
      <c r="E258" t="s">
        <v>91</v>
      </c>
      <c r="F258">
        <v>16</v>
      </c>
    </row>
    <row r="259" spans="3:6" x14ac:dyDescent="0.25">
      <c r="C259" s="21">
        <v>12</v>
      </c>
      <c r="D259" s="26" t="str">
        <f>$B$7&amp;$D$6&amp;$E$6&amp;$G$5</f>
        <v>Level III Spec Unit Staff RN - Hospital NICU -Transport RNPDLevel III Spec Unit Staff RN - Hospital NICU -Transport RNNo</v>
      </c>
      <c r="E259" t="s">
        <v>91</v>
      </c>
      <c r="F259">
        <v>16</v>
      </c>
    </row>
    <row r="260" spans="3:6" x14ac:dyDescent="0.25">
      <c r="C260" s="21">
        <v>1</v>
      </c>
      <c r="D260" s="26" t="str">
        <f>$B$8&amp;$D$3&amp;$E$3&amp;$G$3</f>
        <v>Level III Charge RN</v>
      </c>
      <c r="F260">
        <v>15</v>
      </c>
    </row>
    <row r="261" spans="3:6" x14ac:dyDescent="0.25">
      <c r="C261" s="21">
        <v>2</v>
      </c>
      <c r="D261" s="26" t="str">
        <f>$B$8&amp;$D$3&amp;$E$3&amp;$G$4</f>
        <v>Level III Charge RNYes</v>
      </c>
      <c r="E261" t="s">
        <v>91</v>
      </c>
      <c r="F261">
        <v>16</v>
      </c>
    </row>
    <row r="262" spans="3:6" x14ac:dyDescent="0.25">
      <c r="C262" s="21">
        <v>3</v>
      </c>
      <c r="D262" s="26" t="str">
        <f>$B$8&amp;$D$3&amp;$E$3&amp;$G$5</f>
        <v>Level III Charge RNNo</v>
      </c>
      <c r="E262" t="s">
        <v>91</v>
      </c>
      <c r="F262">
        <v>16</v>
      </c>
    </row>
    <row r="263" spans="3:6" x14ac:dyDescent="0.25">
      <c r="C263" s="21">
        <v>4</v>
      </c>
      <c r="D263" s="26" t="str">
        <f>$B$8&amp;$D$3&amp;$E$4&amp;$G$3</f>
        <v>Level III Charge RNLevel II Staff RN - Hospital</v>
      </c>
      <c r="F263">
        <v>15</v>
      </c>
    </row>
    <row r="264" spans="3:6" x14ac:dyDescent="0.25">
      <c r="C264" s="21">
        <v>5</v>
      </c>
      <c r="D264" s="26" t="str">
        <f>$B$8&amp;$D$3&amp;$E$4&amp;$G$4</f>
        <v>Level III Charge RNLevel II Staff RN - HospitalYes</v>
      </c>
      <c r="F264">
        <v>15</v>
      </c>
    </row>
    <row r="265" spans="3:6" x14ac:dyDescent="0.25">
      <c r="C265" s="21">
        <v>6</v>
      </c>
      <c r="D265" s="26" t="str">
        <f>$B$8&amp;$D$3&amp;$E$4&amp;$G$5</f>
        <v>Level III Charge RNLevel II Staff RN - HospitalNo</v>
      </c>
      <c r="F265">
        <v>15</v>
      </c>
    </row>
    <row r="266" spans="3:6" x14ac:dyDescent="0.25">
      <c r="C266" s="21">
        <v>7</v>
      </c>
      <c r="D266" s="26" t="str">
        <f>$B$8&amp;$D$3&amp;$E$5&amp;$G$3</f>
        <v>Level III Charge RNLevel II Step Down Unit RN</v>
      </c>
      <c r="F266">
        <v>15</v>
      </c>
    </row>
    <row r="267" spans="3:6" x14ac:dyDescent="0.25">
      <c r="C267" s="21">
        <v>8</v>
      </c>
      <c r="D267" s="26" t="str">
        <f>$B$8&amp;$D$3&amp;$E$5&amp;$G$4</f>
        <v>Level III Charge RNLevel II Step Down Unit RNYes</v>
      </c>
      <c r="F267">
        <v>15</v>
      </c>
    </row>
    <row r="268" spans="3:6" x14ac:dyDescent="0.25">
      <c r="C268" s="21">
        <v>9</v>
      </c>
      <c r="D268" s="26" t="str">
        <f>$B$8&amp;$D$3&amp;$E$5&amp;$G$5</f>
        <v>Level III Charge RNLevel II Step Down Unit RNNo</v>
      </c>
      <c r="F268">
        <v>15</v>
      </c>
    </row>
    <row r="269" spans="3:6" x14ac:dyDescent="0.25">
      <c r="C269" s="21">
        <v>10</v>
      </c>
      <c r="D269" s="26" t="str">
        <f>$B$8&amp;$D$3&amp;$E$6&amp;$G$3</f>
        <v>Level III Charge RNLevel III Spec Unit Staff RN - Hospital NICU -Transport RN</v>
      </c>
      <c r="F269">
        <v>15</v>
      </c>
    </row>
    <row r="270" spans="3:6" x14ac:dyDescent="0.25">
      <c r="C270" s="21">
        <v>11</v>
      </c>
      <c r="D270" s="26" t="str">
        <f>$B$8&amp;$D$3&amp;$E$6&amp;$G$4</f>
        <v>Level III Charge RNLevel III Spec Unit Staff RN - Hospital NICU -Transport RNYes</v>
      </c>
      <c r="F270">
        <v>15</v>
      </c>
    </row>
    <row r="271" spans="3:6" x14ac:dyDescent="0.25">
      <c r="C271" s="21">
        <v>12</v>
      </c>
      <c r="D271" s="26" t="str">
        <f>$B$8&amp;$D$3&amp;$E$6&amp;$G$5</f>
        <v>Level III Charge RNLevel III Spec Unit Staff RN - Hospital NICU -Transport RNNo</v>
      </c>
      <c r="F271">
        <v>15</v>
      </c>
    </row>
    <row r="272" spans="3:6" x14ac:dyDescent="0.25">
      <c r="C272" s="21">
        <v>1</v>
      </c>
      <c r="D272" s="26" t="str">
        <f>$B$8&amp;$D$4&amp;$E$3&amp;$G$3</f>
        <v>Level III Charge RNFT</v>
      </c>
      <c r="F272">
        <v>15</v>
      </c>
    </row>
    <row r="273" spans="3:6" x14ac:dyDescent="0.25">
      <c r="C273" s="21">
        <v>2</v>
      </c>
      <c r="D273" s="26" t="str">
        <f>$B$8&amp;$D$4&amp;$E$3&amp;$G$4</f>
        <v>Level III Charge RNFTYes</v>
      </c>
      <c r="E273" t="s">
        <v>91</v>
      </c>
      <c r="F273">
        <v>16</v>
      </c>
    </row>
    <row r="274" spans="3:6" x14ac:dyDescent="0.25">
      <c r="C274" s="21">
        <v>3</v>
      </c>
      <c r="D274" s="26" t="str">
        <f>$B$8&amp;$D$4&amp;$E$3&amp;$G$5</f>
        <v>Level III Charge RNFTNo</v>
      </c>
      <c r="E274" t="s">
        <v>91</v>
      </c>
      <c r="F274">
        <v>16</v>
      </c>
    </row>
    <row r="275" spans="3:6" x14ac:dyDescent="0.25">
      <c r="C275" s="21">
        <v>4</v>
      </c>
      <c r="D275" s="26" t="str">
        <f>$B$8&amp;$D$4&amp;$E$4&amp;$G$3</f>
        <v>Level III Charge RNFTLevel II Staff RN - Hospital</v>
      </c>
      <c r="E275" t="s">
        <v>96</v>
      </c>
      <c r="F275">
        <v>4</v>
      </c>
    </row>
    <row r="276" spans="3:6" x14ac:dyDescent="0.25">
      <c r="C276" s="21">
        <v>5</v>
      </c>
      <c r="D276" s="26" t="str">
        <f>$B$8&amp;$D$4&amp;$E$4&amp;$G$4</f>
        <v>Level III Charge RNFTLevel II Staff RN - HospitalYes</v>
      </c>
      <c r="E276" t="s">
        <v>91</v>
      </c>
      <c r="F276">
        <v>16</v>
      </c>
    </row>
    <row r="277" spans="3:6" x14ac:dyDescent="0.25">
      <c r="C277" s="21">
        <v>6</v>
      </c>
      <c r="D277" s="26" t="str">
        <f>$B$8&amp;$D$4&amp;$E$4&amp;$G$5</f>
        <v>Level III Charge RNFTLevel II Staff RN - HospitalNo</v>
      </c>
      <c r="E277" t="s">
        <v>91</v>
      </c>
      <c r="F277">
        <v>16</v>
      </c>
    </row>
    <row r="278" spans="3:6" x14ac:dyDescent="0.25">
      <c r="C278" s="21">
        <v>7</v>
      </c>
      <c r="D278" s="26" t="str">
        <f>$B$8&amp;$D$4&amp;$E$5&amp;$G$3</f>
        <v>Level III Charge RNFTLevel II Step Down Unit RN</v>
      </c>
      <c r="E278" t="s">
        <v>97</v>
      </c>
      <c r="F278">
        <v>5</v>
      </c>
    </row>
    <row r="279" spans="3:6" x14ac:dyDescent="0.25">
      <c r="C279" s="21">
        <v>8</v>
      </c>
      <c r="D279" s="26" t="str">
        <f>$B$8&amp;$D$4&amp;$E$5&amp;$G$4</f>
        <v>Level III Charge RNFTLevel II Step Down Unit RNYes</v>
      </c>
      <c r="E279" t="s">
        <v>91</v>
      </c>
      <c r="F279">
        <v>16</v>
      </c>
    </row>
    <row r="280" spans="3:6" x14ac:dyDescent="0.25">
      <c r="C280" s="21">
        <v>9</v>
      </c>
      <c r="D280" s="26" t="str">
        <f>$B$8&amp;$D$4&amp;$E$5&amp;$G$5</f>
        <v>Level III Charge RNFTLevel II Step Down Unit RNNo</v>
      </c>
      <c r="E280" t="s">
        <v>91</v>
      </c>
      <c r="F280">
        <v>16</v>
      </c>
    </row>
    <row r="281" spans="3:6" x14ac:dyDescent="0.25">
      <c r="C281" s="21">
        <v>10</v>
      </c>
      <c r="D281" s="26" t="str">
        <f>$B$8&amp;$D$4&amp;$E$6&amp;$G$3</f>
        <v>Level III Charge RNFTLevel III Spec Unit Staff RN - Hospital NICU -Transport RN</v>
      </c>
      <c r="E281" t="s">
        <v>97</v>
      </c>
      <c r="F281">
        <v>5</v>
      </c>
    </row>
    <row r="282" spans="3:6" x14ac:dyDescent="0.25">
      <c r="C282" s="21">
        <v>11</v>
      </c>
      <c r="D282" s="26" t="str">
        <f>$B$8&amp;$D$4&amp;$E$6&amp;$G$4</f>
        <v>Level III Charge RNFTLevel III Spec Unit Staff RN - Hospital NICU -Transport RNYes</v>
      </c>
      <c r="E282" t="s">
        <v>91</v>
      </c>
      <c r="F282">
        <v>16</v>
      </c>
    </row>
    <row r="283" spans="3:6" x14ac:dyDescent="0.25">
      <c r="C283" s="21">
        <v>12</v>
      </c>
      <c r="D283" s="26" t="str">
        <f>$B$8&amp;$D$4&amp;$E$6&amp;$G$5</f>
        <v>Level III Charge RNFTLevel III Spec Unit Staff RN - Hospital NICU -Transport RNNo</v>
      </c>
      <c r="E283" t="s">
        <v>91</v>
      </c>
      <c r="F283">
        <v>16</v>
      </c>
    </row>
    <row r="284" spans="3:6" x14ac:dyDescent="0.25">
      <c r="C284" s="21">
        <v>1</v>
      </c>
      <c r="D284" s="26" t="str">
        <f>$B$8&amp;$D$5&amp;$E$3&amp;$G$3</f>
        <v>Level III Charge RNPT</v>
      </c>
      <c r="F284">
        <v>15</v>
      </c>
    </row>
    <row r="285" spans="3:6" x14ac:dyDescent="0.25">
      <c r="C285" s="21">
        <v>2</v>
      </c>
      <c r="D285" s="26" t="str">
        <f>$B$8&amp;$D$5&amp;$E$3&amp;$G$4</f>
        <v>Level III Charge RNPTYes</v>
      </c>
      <c r="E285" t="s">
        <v>91</v>
      </c>
      <c r="F285">
        <v>16</v>
      </c>
    </row>
    <row r="286" spans="3:6" x14ac:dyDescent="0.25">
      <c r="C286" s="21">
        <v>3</v>
      </c>
      <c r="D286" s="26" t="str">
        <f>$B$8&amp;$D$5&amp;$E$3&amp;$G$5</f>
        <v>Level III Charge RNPTNo</v>
      </c>
      <c r="E286" t="s">
        <v>91</v>
      </c>
      <c r="F286">
        <v>16</v>
      </c>
    </row>
    <row r="287" spans="3:6" x14ac:dyDescent="0.25">
      <c r="C287" s="21">
        <v>4</v>
      </c>
      <c r="D287" s="26" t="str">
        <f>$B$8&amp;$D$5&amp;$E$4&amp;$G$3</f>
        <v>Level III Charge RNPTLevel II Staff RN - Hospital</v>
      </c>
      <c r="E287" t="s">
        <v>96</v>
      </c>
      <c r="F287">
        <v>4</v>
      </c>
    </row>
    <row r="288" spans="3:6" x14ac:dyDescent="0.25">
      <c r="C288" s="21">
        <v>5</v>
      </c>
      <c r="D288" s="26" t="str">
        <f>$B$8&amp;$D$5&amp;$E$4&amp;$G$4</f>
        <v>Level III Charge RNPTLevel II Staff RN - HospitalYes</v>
      </c>
      <c r="E288" t="s">
        <v>91</v>
      </c>
      <c r="F288">
        <v>16</v>
      </c>
    </row>
    <row r="289" spans="3:6" x14ac:dyDescent="0.25">
      <c r="C289" s="21">
        <v>6</v>
      </c>
      <c r="D289" s="26" t="str">
        <f>$B$8&amp;$D$5&amp;$E$4&amp;$G$5</f>
        <v>Level III Charge RNPTLevel II Staff RN - HospitalNo</v>
      </c>
      <c r="E289" t="s">
        <v>91</v>
      </c>
      <c r="F289">
        <v>16</v>
      </c>
    </row>
    <row r="290" spans="3:6" x14ac:dyDescent="0.25">
      <c r="C290" s="21">
        <v>7</v>
      </c>
      <c r="D290" s="26" t="str">
        <f>$B$8&amp;$D$5&amp;$E$5&amp;$G$3</f>
        <v>Level III Charge RNPTLevel II Step Down Unit RN</v>
      </c>
      <c r="E290" t="s">
        <v>97</v>
      </c>
      <c r="F290">
        <v>5</v>
      </c>
    </row>
    <row r="291" spans="3:6" x14ac:dyDescent="0.25">
      <c r="C291" s="21">
        <v>8</v>
      </c>
      <c r="D291" s="26" t="str">
        <f>$B$8&amp;$D$5&amp;$E$5&amp;$G$4</f>
        <v>Level III Charge RNPTLevel II Step Down Unit RNYes</v>
      </c>
      <c r="E291" t="s">
        <v>91</v>
      </c>
      <c r="F291">
        <v>16</v>
      </c>
    </row>
    <row r="292" spans="3:6" x14ac:dyDescent="0.25">
      <c r="C292" s="21">
        <v>9</v>
      </c>
      <c r="D292" s="26" t="str">
        <f>$B$8&amp;$D$5&amp;$E$5&amp;$G$5</f>
        <v>Level III Charge RNPTLevel II Step Down Unit RNNo</v>
      </c>
      <c r="E292" t="s">
        <v>91</v>
      </c>
      <c r="F292">
        <v>16</v>
      </c>
    </row>
    <row r="293" spans="3:6" x14ac:dyDescent="0.25">
      <c r="C293" s="21">
        <v>10</v>
      </c>
      <c r="D293" s="26" t="str">
        <f>$B$8&amp;$D$5&amp;$E$6&amp;$G$3</f>
        <v>Level III Charge RNPTLevel III Spec Unit Staff RN - Hospital NICU -Transport RN</v>
      </c>
      <c r="E293" t="s">
        <v>97</v>
      </c>
      <c r="F293">
        <v>5</v>
      </c>
    </row>
    <row r="294" spans="3:6" x14ac:dyDescent="0.25">
      <c r="C294" s="21">
        <v>11</v>
      </c>
      <c r="D294" s="26" t="str">
        <f>$B$8&amp;$D$5&amp;$E$6&amp;$G$4</f>
        <v>Level III Charge RNPTLevel III Spec Unit Staff RN - Hospital NICU -Transport RNYes</v>
      </c>
      <c r="E294" t="s">
        <v>91</v>
      </c>
      <c r="F294">
        <v>16</v>
      </c>
    </row>
    <row r="295" spans="3:6" x14ac:dyDescent="0.25">
      <c r="C295" s="21">
        <v>12</v>
      </c>
      <c r="D295" s="26" t="str">
        <f>$B$8&amp;$D$5&amp;$E$6&amp;$G$5</f>
        <v>Level III Charge RNPTLevel III Spec Unit Staff RN - Hospital NICU -Transport RNNo</v>
      </c>
      <c r="E295" t="s">
        <v>91</v>
      </c>
      <c r="F295">
        <v>16</v>
      </c>
    </row>
    <row r="296" spans="3:6" x14ac:dyDescent="0.25">
      <c r="C296" s="21">
        <v>1</v>
      </c>
      <c r="D296" s="26" t="str">
        <f>$B$8&amp;$D$6&amp;$E$3&amp;$G$3</f>
        <v>Level III Charge RNPD</v>
      </c>
      <c r="F296">
        <v>15</v>
      </c>
    </row>
    <row r="297" spans="3:6" x14ac:dyDescent="0.25">
      <c r="C297" s="21">
        <v>2</v>
      </c>
      <c r="D297" s="26" t="str">
        <f>$B$8&amp;$D$6&amp;$E$3&amp;$G$4</f>
        <v>Level III Charge RNPDYes</v>
      </c>
      <c r="E297" t="s">
        <v>91</v>
      </c>
      <c r="F297">
        <v>16</v>
      </c>
    </row>
    <row r="298" spans="3:6" x14ac:dyDescent="0.25">
      <c r="C298" s="21">
        <v>3</v>
      </c>
      <c r="D298" s="26" t="str">
        <f>$B$8&amp;$D$6&amp;$E$3&amp;$G$5</f>
        <v>Level III Charge RNPDNo</v>
      </c>
      <c r="E298" t="s">
        <v>91</v>
      </c>
      <c r="F298">
        <v>16</v>
      </c>
    </row>
    <row r="299" spans="3:6" x14ac:dyDescent="0.25">
      <c r="C299" s="21">
        <v>4</v>
      </c>
      <c r="D299" s="26" t="str">
        <f>$B$8&amp;$D$6&amp;$E$4&amp;$G$3</f>
        <v>Level III Charge RNPDLevel II Staff RN - Hospital</v>
      </c>
      <c r="E299" t="s">
        <v>98</v>
      </c>
      <c r="F299">
        <v>11</v>
      </c>
    </row>
    <row r="300" spans="3:6" x14ac:dyDescent="0.25">
      <c r="C300" s="21">
        <v>5</v>
      </c>
      <c r="D300" s="26" t="str">
        <f>$B$8&amp;$D$6&amp;$E$4&amp;$G$4</f>
        <v>Level III Charge RNPDLevel II Staff RN - HospitalYes</v>
      </c>
      <c r="E300" t="s">
        <v>91</v>
      </c>
      <c r="F300">
        <v>16</v>
      </c>
    </row>
    <row r="301" spans="3:6" x14ac:dyDescent="0.25">
      <c r="C301" s="21">
        <v>6</v>
      </c>
      <c r="D301" s="26" t="str">
        <f>$B$8&amp;$D$6&amp;$E$4&amp;$G$5</f>
        <v>Level III Charge RNPDLevel II Staff RN - HospitalNo</v>
      </c>
      <c r="E301" t="s">
        <v>91</v>
      </c>
      <c r="F301">
        <v>16</v>
      </c>
    </row>
    <row r="302" spans="3:6" x14ac:dyDescent="0.25">
      <c r="C302" s="21">
        <v>7</v>
      </c>
      <c r="D302" s="26" t="str">
        <f>$B$8&amp;$D$6&amp;$E$5&amp;$G$3</f>
        <v>Level III Charge RNPDLevel II Step Down Unit RN</v>
      </c>
      <c r="E302" t="s">
        <v>99</v>
      </c>
      <c r="F302">
        <v>12</v>
      </c>
    </row>
    <row r="303" spans="3:6" x14ac:dyDescent="0.25">
      <c r="C303" s="21">
        <v>8</v>
      </c>
      <c r="D303" s="26" t="str">
        <f>$B$8&amp;$D$6&amp;$E$5&amp;$G$4</f>
        <v>Level III Charge RNPDLevel II Step Down Unit RNYes</v>
      </c>
      <c r="E303" t="s">
        <v>91</v>
      </c>
      <c r="F303">
        <v>16</v>
      </c>
    </row>
    <row r="304" spans="3:6" x14ac:dyDescent="0.25">
      <c r="C304" s="21">
        <v>9</v>
      </c>
      <c r="D304" s="26" t="str">
        <f>$B$8&amp;$D$6&amp;$E$5&amp;$G$5</f>
        <v>Level III Charge RNPDLevel II Step Down Unit RNNo</v>
      </c>
      <c r="E304" t="s">
        <v>91</v>
      </c>
      <c r="F304">
        <v>16</v>
      </c>
    </row>
    <row r="305" spans="3:6" x14ac:dyDescent="0.25">
      <c r="C305" s="21">
        <v>10</v>
      </c>
      <c r="D305" s="26" t="str">
        <f>$B$8&amp;$D$6&amp;$E$6&amp;$G$3</f>
        <v>Level III Charge RNPDLevel III Spec Unit Staff RN - Hospital NICU -Transport RN</v>
      </c>
      <c r="E305" t="s">
        <v>99</v>
      </c>
      <c r="F305">
        <v>12</v>
      </c>
    </row>
    <row r="306" spans="3:6" x14ac:dyDescent="0.25">
      <c r="C306" s="21">
        <v>11</v>
      </c>
      <c r="D306" s="26" t="str">
        <f>$B$8&amp;$D$6&amp;$E$6&amp;$G$4</f>
        <v>Level III Charge RNPDLevel III Spec Unit Staff RN - Hospital NICU -Transport RNYes</v>
      </c>
      <c r="E306" t="s">
        <v>91</v>
      </c>
      <c r="F306">
        <v>16</v>
      </c>
    </row>
    <row r="307" spans="3:6" x14ac:dyDescent="0.25">
      <c r="C307" s="21">
        <v>12</v>
      </c>
      <c r="D307" s="26" t="str">
        <f>$B$8&amp;$D$6&amp;$E$6&amp;$G$5</f>
        <v>Level III Charge RNPDLevel III Spec Unit Staff RN - Hospital NICU -Transport RNNo</v>
      </c>
      <c r="E307" t="s">
        <v>91</v>
      </c>
      <c r="F307">
        <v>16</v>
      </c>
    </row>
    <row r="308" spans="3:6" x14ac:dyDescent="0.25">
      <c r="C308" s="21">
        <v>1</v>
      </c>
      <c r="D308" s="26" t="str">
        <f>$B$9&amp;$D$3&amp;$E$3&amp;$G$3</f>
        <v>Public Health Nurse</v>
      </c>
      <c r="F308">
        <v>15</v>
      </c>
    </row>
    <row r="309" spans="3:6" x14ac:dyDescent="0.25">
      <c r="C309" s="21">
        <v>2</v>
      </c>
      <c r="D309" s="26" t="str">
        <f>$B$9&amp;$D$3&amp;$E$3&amp;$G$4</f>
        <v>Public Health NurseYes</v>
      </c>
      <c r="F309">
        <v>15</v>
      </c>
    </row>
    <row r="310" spans="3:6" x14ac:dyDescent="0.25">
      <c r="C310" s="21">
        <v>3</v>
      </c>
      <c r="D310" s="26" t="str">
        <f>$B$9&amp;$D$3&amp;$E$3&amp;$G$5</f>
        <v>Public Health NurseNo</v>
      </c>
      <c r="F310">
        <v>15</v>
      </c>
    </row>
    <row r="311" spans="3:6" x14ac:dyDescent="0.25">
      <c r="C311" s="21">
        <v>4</v>
      </c>
      <c r="D311" s="26" t="str">
        <f>$B$9&amp;$D$3&amp;$E$4&amp;$G$3</f>
        <v>Public Health NurseLevel II Staff RN - Hospital</v>
      </c>
      <c r="E311" t="s">
        <v>91</v>
      </c>
      <c r="F311">
        <v>16</v>
      </c>
    </row>
    <row r="312" spans="3:6" x14ac:dyDescent="0.25">
      <c r="C312" s="21">
        <v>5</v>
      </c>
      <c r="D312" s="26" t="str">
        <f>$B$9&amp;$D$3&amp;$E$4&amp;$G$4</f>
        <v>Public Health NurseLevel II Staff RN - HospitalYes</v>
      </c>
      <c r="E312" t="s">
        <v>91</v>
      </c>
      <c r="F312">
        <v>16</v>
      </c>
    </row>
    <row r="313" spans="3:6" x14ac:dyDescent="0.25">
      <c r="C313" s="21">
        <v>6</v>
      </c>
      <c r="D313" s="26" t="str">
        <f>$B$9&amp;$D$3&amp;$E$4&amp;$G$5</f>
        <v>Public Health NurseLevel II Staff RN - HospitalNo</v>
      </c>
      <c r="E313" t="s">
        <v>91</v>
      </c>
      <c r="F313">
        <v>16</v>
      </c>
    </row>
    <row r="314" spans="3:6" x14ac:dyDescent="0.25">
      <c r="C314" s="21">
        <v>7</v>
      </c>
      <c r="D314" s="26" t="str">
        <f>$B$9&amp;$D$3&amp;$E$5&amp;$G$3</f>
        <v>Public Health NurseLevel II Step Down Unit RN</v>
      </c>
      <c r="E314" t="s">
        <v>91</v>
      </c>
      <c r="F314">
        <v>16</v>
      </c>
    </row>
    <row r="315" spans="3:6" x14ac:dyDescent="0.25">
      <c r="C315" s="21">
        <v>8</v>
      </c>
      <c r="D315" s="26" t="str">
        <f>$B$9&amp;$D$3&amp;$E$5&amp;$G$4</f>
        <v>Public Health NurseLevel II Step Down Unit RNYes</v>
      </c>
      <c r="E315" t="s">
        <v>91</v>
      </c>
      <c r="F315">
        <v>16</v>
      </c>
    </row>
    <row r="316" spans="3:6" x14ac:dyDescent="0.25">
      <c r="C316" s="21">
        <v>9</v>
      </c>
      <c r="D316" s="26" t="str">
        <f>$B$9&amp;$D$3&amp;$E$5&amp;$G$5</f>
        <v>Public Health NurseLevel II Step Down Unit RNNo</v>
      </c>
      <c r="E316" t="s">
        <v>91</v>
      </c>
      <c r="F316">
        <v>16</v>
      </c>
    </row>
    <row r="317" spans="3:6" x14ac:dyDescent="0.25">
      <c r="C317" s="21">
        <v>10</v>
      </c>
      <c r="D317" s="26" t="str">
        <f>$B$9&amp;$D$3&amp;$E$6&amp;$G$3</f>
        <v>Public Health NurseLevel III Spec Unit Staff RN - Hospital NICU -Transport RN</v>
      </c>
      <c r="E317" t="s">
        <v>91</v>
      </c>
      <c r="F317">
        <v>16</v>
      </c>
    </row>
    <row r="318" spans="3:6" x14ac:dyDescent="0.25">
      <c r="C318" s="21">
        <v>11</v>
      </c>
      <c r="D318" s="26" t="str">
        <f>$B$9&amp;$D$3&amp;$E$6&amp;$G$4</f>
        <v>Public Health NurseLevel III Spec Unit Staff RN - Hospital NICU -Transport RNYes</v>
      </c>
      <c r="E318" t="s">
        <v>91</v>
      </c>
      <c r="F318">
        <v>16</v>
      </c>
    </row>
    <row r="319" spans="3:6" x14ac:dyDescent="0.25">
      <c r="C319" s="21">
        <v>12</v>
      </c>
      <c r="D319" s="26" t="str">
        <f>$B$9&amp;$D$3&amp;$E$6&amp;$G$5</f>
        <v>Public Health NurseLevel III Spec Unit Staff RN - Hospital NICU -Transport RNNo</v>
      </c>
      <c r="E319" t="s">
        <v>91</v>
      </c>
      <c r="F319">
        <v>16</v>
      </c>
    </row>
    <row r="320" spans="3:6" x14ac:dyDescent="0.25">
      <c r="C320" s="21">
        <v>1</v>
      </c>
      <c r="D320" s="26" t="str">
        <f>$B$9&amp;$D$4&amp;$E$3&amp;$G$3</f>
        <v>Public Health NurseFT</v>
      </c>
      <c r="E320" t="s">
        <v>91</v>
      </c>
      <c r="F320">
        <v>16</v>
      </c>
    </row>
    <row r="321" spans="3:6" x14ac:dyDescent="0.25">
      <c r="C321" s="21">
        <v>2</v>
      </c>
      <c r="D321" s="26" t="str">
        <f>$B$9&amp;$D$4&amp;$E$3&amp;$G$4</f>
        <v>Public Health NurseFTYes</v>
      </c>
      <c r="E321" t="s">
        <v>100</v>
      </c>
      <c r="F321">
        <v>7</v>
      </c>
    </row>
    <row r="322" spans="3:6" x14ac:dyDescent="0.25">
      <c r="C322" s="21">
        <v>3</v>
      </c>
      <c r="D322" s="26" t="str">
        <f>$B$9&amp;$D$4&amp;$E$3&amp;$G$5</f>
        <v>Public Health NurseFTNo</v>
      </c>
      <c r="E322" t="s">
        <v>101</v>
      </c>
      <c r="F322">
        <v>6</v>
      </c>
    </row>
    <row r="323" spans="3:6" x14ac:dyDescent="0.25">
      <c r="C323" s="21">
        <v>4</v>
      </c>
      <c r="D323" s="26" t="str">
        <f>$B$9&amp;$D$4&amp;$E$4&amp;$G$3</f>
        <v>Public Health NurseFTLevel II Staff RN - Hospital</v>
      </c>
      <c r="E323" t="s">
        <v>91</v>
      </c>
      <c r="F323">
        <v>16</v>
      </c>
    </row>
    <row r="324" spans="3:6" x14ac:dyDescent="0.25">
      <c r="C324" s="21">
        <v>5</v>
      </c>
      <c r="D324" s="26" t="str">
        <f>$B$9&amp;$D$4&amp;$E$4&amp;$G$4</f>
        <v>Public Health NurseFTLevel II Staff RN - HospitalYes</v>
      </c>
      <c r="E324" t="s">
        <v>91</v>
      </c>
      <c r="F324">
        <v>16</v>
      </c>
    </row>
    <row r="325" spans="3:6" x14ac:dyDescent="0.25">
      <c r="C325" s="21">
        <v>6</v>
      </c>
      <c r="D325" s="26" t="str">
        <f>$B$9&amp;$D$4&amp;$E$4&amp;$G$5</f>
        <v>Public Health NurseFTLevel II Staff RN - HospitalNo</v>
      </c>
      <c r="E325" t="s">
        <v>91</v>
      </c>
      <c r="F325">
        <v>16</v>
      </c>
    </row>
    <row r="326" spans="3:6" x14ac:dyDescent="0.25">
      <c r="C326" s="21">
        <v>7</v>
      </c>
      <c r="D326" s="26" t="str">
        <f>$B$9&amp;$D$4&amp;$E$5&amp;$G$3</f>
        <v>Public Health NurseFTLevel II Step Down Unit RN</v>
      </c>
      <c r="E326" t="s">
        <v>91</v>
      </c>
      <c r="F326">
        <v>16</v>
      </c>
    </row>
    <row r="327" spans="3:6" x14ac:dyDescent="0.25">
      <c r="C327" s="21">
        <v>8</v>
      </c>
      <c r="D327" s="26" t="str">
        <f>$B$9&amp;$D$4&amp;$E$5&amp;$G$4</f>
        <v>Public Health NurseFTLevel II Step Down Unit RNYes</v>
      </c>
      <c r="E327" t="s">
        <v>91</v>
      </c>
      <c r="F327">
        <v>16</v>
      </c>
    </row>
    <row r="328" spans="3:6" x14ac:dyDescent="0.25">
      <c r="C328" s="21">
        <v>9</v>
      </c>
      <c r="D328" s="26" t="str">
        <f>$B$9&amp;$D$4&amp;$E$5&amp;$G$5</f>
        <v>Public Health NurseFTLevel II Step Down Unit RNNo</v>
      </c>
      <c r="E328" t="s">
        <v>91</v>
      </c>
      <c r="F328">
        <v>16</v>
      </c>
    </row>
    <row r="329" spans="3:6" x14ac:dyDescent="0.25">
      <c r="C329" s="21">
        <v>10</v>
      </c>
      <c r="D329" s="26" t="str">
        <f>$B$9&amp;$D$4&amp;$E$6&amp;$G$3</f>
        <v>Public Health NurseFTLevel III Spec Unit Staff RN - Hospital NICU -Transport RN</v>
      </c>
      <c r="E329" t="s">
        <v>91</v>
      </c>
      <c r="F329">
        <v>16</v>
      </c>
    </row>
    <row r="330" spans="3:6" x14ac:dyDescent="0.25">
      <c r="C330" s="21">
        <v>11</v>
      </c>
      <c r="D330" s="26" t="str">
        <f>$B$9&amp;$D$4&amp;$E$6&amp;$G$4</f>
        <v>Public Health NurseFTLevel III Spec Unit Staff RN - Hospital NICU -Transport RNYes</v>
      </c>
      <c r="E330" t="s">
        <v>91</v>
      </c>
      <c r="F330">
        <v>16</v>
      </c>
    </row>
    <row r="331" spans="3:6" x14ac:dyDescent="0.25">
      <c r="C331" s="21">
        <v>12</v>
      </c>
      <c r="D331" s="26" t="str">
        <f>$B$9&amp;$D$4&amp;$E$6&amp;$G$5</f>
        <v>Public Health NurseFTLevel III Spec Unit Staff RN - Hospital NICU -Transport RNNo</v>
      </c>
      <c r="E331" t="s">
        <v>91</v>
      </c>
      <c r="F331">
        <v>16</v>
      </c>
    </row>
    <row r="332" spans="3:6" x14ac:dyDescent="0.25">
      <c r="C332" s="21">
        <v>1</v>
      </c>
      <c r="D332" s="26" t="str">
        <f>$B$9&amp;$D$5&amp;$E$3&amp;$G$3</f>
        <v>Public Health NursePT</v>
      </c>
      <c r="F332">
        <v>15</v>
      </c>
    </row>
    <row r="333" spans="3:6" x14ac:dyDescent="0.25">
      <c r="C333" s="21">
        <v>2</v>
      </c>
      <c r="D333" s="26" t="str">
        <f>$B$9&amp;$D$5&amp;$E$3&amp;$G$4</f>
        <v>Public Health NursePTYes</v>
      </c>
      <c r="E333" t="s">
        <v>100</v>
      </c>
      <c r="F333">
        <v>7</v>
      </c>
    </row>
    <row r="334" spans="3:6" x14ac:dyDescent="0.25">
      <c r="C334" s="21">
        <v>3</v>
      </c>
      <c r="D334" s="26" t="str">
        <f>$B$9&amp;$D$5&amp;$E$3&amp;$G$5</f>
        <v>Public Health NursePTNo</v>
      </c>
      <c r="E334" t="s">
        <v>101</v>
      </c>
      <c r="F334">
        <v>6</v>
      </c>
    </row>
    <row r="335" spans="3:6" x14ac:dyDescent="0.25">
      <c r="C335" s="21">
        <v>4</v>
      </c>
      <c r="D335" s="26" t="str">
        <f>$B$9&amp;$D$5&amp;$E$4&amp;$G$3</f>
        <v>Public Health NursePTLevel II Staff RN - Hospital</v>
      </c>
      <c r="E335" t="s">
        <v>91</v>
      </c>
      <c r="F335">
        <v>16</v>
      </c>
    </row>
    <row r="336" spans="3:6" x14ac:dyDescent="0.25">
      <c r="C336" s="21">
        <v>5</v>
      </c>
      <c r="D336" s="26" t="str">
        <f>$B$9&amp;$D$5&amp;$E$4&amp;$G$4</f>
        <v>Public Health NursePTLevel II Staff RN - HospitalYes</v>
      </c>
      <c r="E336" t="s">
        <v>91</v>
      </c>
      <c r="F336">
        <v>16</v>
      </c>
    </row>
    <row r="337" spans="3:6" x14ac:dyDescent="0.25">
      <c r="C337" s="21">
        <v>6</v>
      </c>
      <c r="D337" s="26" t="str">
        <f>$B$9&amp;$D$5&amp;$E$4&amp;$G$5</f>
        <v>Public Health NursePTLevel II Staff RN - HospitalNo</v>
      </c>
      <c r="E337" t="s">
        <v>91</v>
      </c>
      <c r="F337">
        <v>16</v>
      </c>
    </row>
    <row r="338" spans="3:6" x14ac:dyDescent="0.25">
      <c r="C338" s="21">
        <v>7</v>
      </c>
      <c r="D338" s="26" t="str">
        <f>$B$9&amp;$D$5&amp;$E$5&amp;$G$3</f>
        <v>Public Health NursePTLevel II Step Down Unit RN</v>
      </c>
      <c r="E338" t="s">
        <v>91</v>
      </c>
      <c r="F338">
        <v>16</v>
      </c>
    </row>
    <row r="339" spans="3:6" x14ac:dyDescent="0.25">
      <c r="C339" s="21">
        <v>8</v>
      </c>
      <c r="D339" s="26" t="str">
        <f>$B$9&amp;$D$5&amp;$E$5&amp;$G$4</f>
        <v>Public Health NursePTLevel II Step Down Unit RNYes</v>
      </c>
      <c r="E339" t="s">
        <v>91</v>
      </c>
      <c r="F339">
        <v>16</v>
      </c>
    </row>
    <row r="340" spans="3:6" x14ac:dyDescent="0.25">
      <c r="C340" s="21">
        <v>9</v>
      </c>
      <c r="D340" s="26" t="str">
        <f>$B$9&amp;$D$5&amp;$E$5&amp;$G$5</f>
        <v>Public Health NursePTLevel II Step Down Unit RNNo</v>
      </c>
      <c r="E340" t="s">
        <v>91</v>
      </c>
      <c r="F340">
        <v>16</v>
      </c>
    </row>
    <row r="341" spans="3:6" x14ac:dyDescent="0.25">
      <c r="C341" s="21">
        <v>10</v>
      </c>
      <c r="D341" s="26" t="str">
        <f>$B$9&amp;$D$5&amp;$E$6&amp;$G$3</f>
        <v>Public Health NursePTLevel III Spec Unit Staff RN - Hospital NICU -Transport RN</v>
      </c>
      <c r="E341" t="s">
        <v>91</v>
      </c>
      <c r="F341">
        <v>16</v>
      </c>
    </row>
    <row r="342" spans="3:6" x14ac:dyDescent="0.25">
      <c r="C342" s="21">
        <v>11</v>
      </c>
      <c r="D342" s="26" t="str">
        <f>$B$9&amp;$D$5&amp;$E$6&amp;$G$4</f>
        <v>Public Health NursePTLevel III Spec Unit Staff RN - Hospital NICU -Transport RNYes</v>
      </c>
      <c r="E342" t="s">
        <v>91</v>
      </c>
      <c r="F342">
        <v>16</v>
      </c>
    </row>
    <row r="343" spans="3:6" x14ac:dyDescent="0.25">
      <c r="C343" s="21">
        <v>12</v>
      </c>
      <c r="D343" s="26" t="str">
        <f>$B$9&amp;$D$5&amp;$E$6&amp;$G$5</f>
        <v>Public Health NursePTLevel III Spec Unit Staff RN - Hospital NICU -Transport RNNo</v>
      </c>
      <c r="E343" t="s">
        <v>91</v>
      </c>
      <c r="F343">
        <v>16</v>
      </c>
    </row>
    <row r="344" spans="3:6" x14ac:dyDescent="0.25">
      <c r="C344" s="21">
        <v>1</v>
      </c>
      <c r="D344" s="26" t="str">
        <f>$B$9&amp;$D$6&amp;$E$3&amp;$G$3</f>
        <v>Public Health NursePD</v>
      </c>
      <c r="F344">
        <v>15</v>
      </c>
    </row>
    <row r="345" spans="3:6" x14ac:dyDescent="0.25">
      <c r="C345" s="21">
        <v>2</v>
      </c>
      <c r="D345" s="26" t="str">
        <f>$B$9&amp;$D$6&amp;$E$3&amp;$G$4</f>
        <v>Public Health NursePDYes</v>
      </c>
      <c r="E345" t="s">
        <v>107</v>
      </c>
      <c r="F345">
        <v>14</v>
      </c>
    </row>
    <row r="346" spans="3:6" x14ac:dyDescent="0.25">
      <c r="C346" s="21">
        <v>3</v>
      </c>
      <c r="D346" s="26" t="str">
        <f>$B$9&amp;$D$6&amp;$E$3&amp;$G$5</f>
        <v>Public Health NursePDNo</v>
      </c>
      <c r="E346" t="s">
        <v>108</v>
      </c>
      <c r="F346">
        <v>13</v>
      </c>
    </row>
    <row r="347" spans="3:6" x14ac:dyDescent="0.25">
      <c r="C347" s="21">
        <v>4</v>
      </c>
      <c r="D347" s="26" t="str">
        <f>$B$9&amp;$D$6&amp;$E$4&amp;$G$3</f>
        <v>Public Health NursePDLevel II Staff RN - Hospital</v>
      </c>
      <c r="E347" t="s">
        <v>91</v>
      </c>
      <c r="F347">
        <v>16</v>
      </c>
    </row>
    <row r="348" spans="3:6" x14ac:dyDescent="0.25">
      <c r="C348" s="21">
        <v>5</v>
      </c>
      <c r="D348" s="26" t="str">
        <f>$B$9&amp;$D$6&amp;$E$4&amp;$G$4</f>
        <v>Public Health NursePDLevel II Staff RN - HospitalYes</v>
      </c>
      <c r="E348" t="s">
        <v>91</v>
      </c>
      <c r="F348">
        <v>16</v>
      </c>
    </row>
    <row r="349" spans="3:6" x14ac:dyDescent="0.25">
      <c r="C349" s="21">
        <v>6</v>
      </c>
      <c r="D349" s="26" t="str">
        <f>$B$9&amp;$D$6&amp;$E$4&amp;$G$5</f>
        <v>Public Health NursePDLevel II Staff RN - HospitalNo</v>
      </c>
      <c r="E349" t="s">
        <v>91</v>
      </c>
      <c r="F349">
        <v>16</v>
      </c>
    </row>
    <row r="350" spans="3:6" x14ac:dyDescent="0.25">
      <c r="C350" s="21">
        <v>7</v>
      </c>
      <c r="D350" s="26" t="str">
        <f>$B$9&amp;$D$6&amp;$E$5&amp;$G$3</f>
        <v>Public Health NursePDLevel II Step Down Unit RN</v>
      </c>
      <c r="E350" t="s">
        <v>91</v>
      </c>
      <c r="F350">
        <v>16</v>
      </c>
    </row>
    <row r="351" spans="3:6" x14ac:dyDescent="0.25">
      <c r="C351" s="21">
        <v>8</v>
      </c>
      <c r="D351" s="26" t="str">
        <f>$B$9&amp;$D$6&amp;$E$5&amp;$G$4</f>
        <v>Public Health NursePDLevel II Step Down Unit RNYes</v>
      </c>
      <c r="E351" t="s">
        <v>91</v>
      </c>
      <c r="F351">
        <v>16</v>
      </c>
    </row>
    <row r="352" spans="3:6" x14ac:dyDescent="0.25">
      <c r="C352" s="21">
        <v>9</v>
      </c>
      <c r="D352" s="26" t="str">
        <f>$B$9&amp;$D$6&amp;$E$5&amp;$G$5</f>
        <v>Public Health NursePDLevel II Step Down Unit RNNo</v>
      </c>
      <c r="E352" t="s">
        <v>91</v>
      </c>
      <c r="F352">
        <v>16</v>
      </c>
    </row>
    <row r="353" spans="3:6" x14ac:dyDescent="0.25">
      <c r="C353" s="21">
        <v>10</v>
      </c>
      <c r="D353" s="26" t="str">
        <f>$B$9&amp;$D$6&amp;$E$6&amp;$G$3</f>
        <v>Public Health NursePDLevel III Spec Unit Staff RN - Hospital NICU -Transport RN</v>
      </c>
      <c r="E353" t="s">
        <v>91</v>
      </c>
      <c r="F353">
        <v>16</v>
      </c>
    </row>
    <row r="354" spans="3:6" x14ac:dyDescent="0.25">
      <c r="C354" s="21">
        <v>11</v>
      </c>
      <c r="D354" s="26" t="str">
        <f>$B$9&amp;$D$6&amp;$E$6&amp;$G$4</f>
        <v>Public Health NursePDLevel III Spec Unit Staff RN - Hospital NICU -Transport RNYes</v>
      </c>
      <c r="E354" t="s">
        <v>91</v>
      </c>
      <c r="F354">
        <v>16</v>
      </c>
    </row>
    <row r="355" spans="3:6" x14ac:dyDescent="0.25">
      <c r="C355" s="21">
        <v>12</v>
      </c>
      <c r="D355" s="26" t="str">
        <f>$B$9&amp;$D$6&amp;$E$6&amp;$G$5</f>
        <v>Public Health NursePDLevel III Spec Unit Staff RN - Hospital NICU -Transport RNNo</v>
      </c>
      <c r="E355" t="s">
        <v>91</v>
      </c>
      <c r="F355">
        <v>16</v>
      </c>
    </row>
  </sheetData>
  <mergeCells count="17">
    <mergeCell ref="I1:K1"/>
    <mergeCell ref="B18:H18"/>
    <mergeCell ref="M3:AA3"/>
    <mergeCell ref="M2:AA2"/>
    <mergeCell ref="M22:AA22"/>
    <mergeCell ref="AG2:AH2"/>
    <mergeCell ref="M42:AA42"/>
    <mergeCell ref="AC8:AK8"/>
    <mergeCell ref="N63:AA63"/>
    <mergeCell ref="AC11:AD11"/>
    <mergeCell ref="AE11:AF11"/>
    <mergeCell ref="AH11:AI11"/>
    <mergeCell ref="AB27:AC27"/>
    <mergeCell ref="AB26:AC26"/>
    <mergeCell ref="AB24:AC24"/>
    <mergeCell ref="AB25:AC25"/>
    <mergeCell ref="AB28:AC28"/>
  </mergeCells>
  <conditionalFormatting sqref="D1:D1048576">
    <cfRule type="containsText" priority="1" operator="containsText" text="3">
      <formula>NOT(ISERROR(SEARCH("3",D1)))</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M77"/>
  <sheetViews>
    <sheetView topLeftCell="X1" workbookViewId="0">
      <selection activeCell="AC15" sqref="AC15"/>
    </sheetView>
  </sheetViews>
  <sheetFormatPr defaultRowHeight="15" x14ac:dyDescent="0.25"/>
  <cols>
    <col min="1" max="1" width="17.140625" customWidth="1"/>
    <col min="2" max="2" width="20.7109375" bestFit="1" customWidth="1"/>
    <col min="11" max="11" width="14.5703125" bestFit="1" customWidth="1"/>
    <col min="25" max="25" width="8.85546875" customWidth="1"/>
    <col min="26" max="26" width="17.7109375" bestFit="1" customWidth="1"/>
    <col min="27" max="27" width="13.42578125" customWidth="1"/>
    <col min="28" max="28" width="41.28515625" customWidth="1"/>
    <col min="29" max="29" width="22.85546875" customWidth="1"/>
    <col min="30" max="30" width="17.85546875" customWidth="1"/>
    <col min="31" max="31" width="12" customWidth="1"/>
    <col min="32" max="32" width="8.140625" bestFit="1" customWidth="1"/>
    <col min="34" max="34" width="13.85546875" bestFit="1" customWidth="1"/>
  </cols>
  <sheetData>
    <row r="1" spans="1:35" ht="15.75" x14ac:dyDescent="0.25">
      <c r="E1" s="152" t="s">
        <v>157</v>
      </c>
      <c r="F1" s="152"/>
      <c r="G1" s="152"/>
    </row>
    <row r="2" spans="1:35" ht="60" x14ac:dyDescent="0.35">
      <c r="A2" s="44"/>
      <c r="B2" s="44" t="s">
        <v>85</v>
      </c>
      <c r="C2" s="25" t="s">
        <v>155</v>
      </c>
      <c r="D2" s="25" t="s">
        <v>156</v>
      </c>
      <c r="E2" s="44" t="s">
        <v>0</v>
      </c>
      <c r="F2" s="44" t="s">
        <v>79</v>
      </c>
      <c r="G2" s="44" t="s">
        <v>1</v>
      </c>
      <c r="H2" s="25" t="s">
        <v>172</v>
      </c>
      <c r="I2" s="25" t="s">
        <v>180</v>
      </c>
      <c r="J2" s="149" t="s">
        <v>102</v>
      </c>
      <c r="K2" s="150"/>
      <c r="L2" s="150"/>
      <c r="M2" s="150"/>
      <c r="N2" s="151"/>
      <c r="O2" s="151"/>
      <c r="P2" s="151"/>
      <c r="Q2" s="151"/>
      <c r="R2" s="151"/>
      <c r="S2" s="151"/>
      <c r="T2" s="151"/>
      <c r="U2" s="151"/>
      <c r="V2" s="151"/>
      <c r="W2" s="151"/>
      <c r="X2" s="151"/>
      <c r="Z2" s="11"/>
      <c r="AA2" s="44" t="s">
        <v>66</v>
      </c>
      <c r="AB2" s="44" t="s">
        <v>110</v>
      </c>
      <c r="AC2" s="44" t="s">
        <v>164</v>
      </c>
      <c r="AD2" s="136" t="s">
        <v>143</v>
      </c>
      <c r="AE2" s="137"/>
      <c r="AF2" s="44" t="s">
        <v>144</v>
      </c>
      <c r="AG2" s="44" t="s">
        <v>145</v>
      </c>
      <c r="AH2" s="11"/>
    </row>
    <row r="3" spans="1:35" x14ac:dyDescent="0.25">
      <c r="A3" s="48"/>
      <c r="B3" s="48"/>
      <c r="C3" s="49"/>
      <c r="H3" s="50"/>
      <c r="I3" s="50"/>
      <c r="J3" s="138" t="s">
        <v>111</v>
      </c>
      <c r="K3" s="137"/>
      <c r="L3" s="137"/>
      <c r="M3" s="137"/>
      <c r="N3" s="137"/>
      <c r="O3" s="137"/>
      <c r="P3" s="137"/>
      <c r="Q3" s="137"/>
      <c r="R3" s="137"/>
      <c r="S3" s="137"/>
      <c r="T3" s="137"/>
      <c r="U3" s="137"/>
      <c r="V3" s="137"/>
      <c r="W3" s="137"/>
      <c r="X3" s="137"/>
      <c r="Z3" s="71"/>
      <c r="AA3" s="48"/>
      <c r="AB3" s="48"/>
      <c r="AC3" s="74" t="str">
        <f>IF(AND('UNAC-UHCP'!$C$6="PD",'UNAC-UHCP'!$C$10="Yes"),"Error",'UNAC Calc.(Save)'!AC4)</f>
        <v/>
      </c>
      <c r="AD3" s="74"/>
      <c r="AE3" s="74" t="str">
        <f>IF(AND('UNAC-UHCP'!$C$6="PD",'UNAC-UHCP'!$C$10="Yes"),"Error",'UNAC Calc.(Save)'!AE4)</f>
        <v/>
      </c>
      <c r="AF3" s="74" t="str">
        <f>IF(AND('UNAC-UHCP'!$C$6="PD",'UNAC-UHCP'!$C$10="Yes"),"Error",'UNAC Calc.(Save)'!AF4)</f>
        <v/>
      </c>
      <c r="AG3" s="74" t="str">
        <f>IF(AND('UNAC-UHCP'!$C$6="PD",'UNAC-UHCP'!$C$10="Yes"),"Error",'UNAC Calc.(Save)'!AG4)</f>
        <v/>
      </c>
      <c r="AH3" s="71"/>
    </row>
    <row r="4" spans="1:35" x14ac:dyDescent="0.25">
      <c r="B4" t="s">
        <v>149</v>
      </c>
      <c r="C4" t="s">
        <v>86</v>
      </c>
      <c r="D4" t="s">
        <v>89</v>
      </c>
      <c r="E4" t="s">
        <v>4</v>
      </c>
      <c r="F4">
        <v>1</v>
      </c>
      <c r="G4">
        <v>2015</v>
      </c>
      <c r="H4" t="s">
        <v>16</v>
      </c>
      <c r="I4" t="s">
        <v>16</v>
      </c>
      <c r="L4" s="29" t="s">
        <v>89</v>
      </c>
      <c r="M4" s="29" t="s">
        <v>67</v>
      </c>
      <c r="N4" s="29" t="s">
        <v>68</v>
      </c>
      <c r="O4" s="29" t="s">
        <v>69</v>
      </c>
      <c r="P4" s="29" t="s">
        <v>70</v>
      </c>
      <c r="Q4" s="29" t="s">
        <v>71</v>
      </c>
      <c r="R4" s="29" t="s">
        <v>72</v>
      </c>
      <c r="S4" s="29" t="s">
        <v>73</v>
      </c>
      <c r="T4" s="29" t="s">
        <v>74</v>
      </c>
      <c r="U4" s="29" t="s">
        <v>75</v>
      </c>
      <c r="V4" s="29" t="s">
        <v>76</v>
      </c>
      <c r="W4" s="29" t="s">
        <v>77</v>
      </c>
      <c r="X4" s="29" t="s">
        <v>78</v>
      </c>
      <c r="AC4" s="40" t="str">
        <f>IF(AC5="",AC5,IF('UNAC-UHCP'!$C$10="Yes",'UNAC Calc.(Save)'!AC5*1.2,'UNAC Calc.(Save)'!AC5))</f>
        <v/>
      </c>
      <c r="AD4" s="40"/>
      <c r="AE4" s="40" t="str">
        <f>IF(AE5="",AE5,IF('UNAC-UHCP'!$C$10="Yes",'UNAC Calc.(Save)'!AE5*1.2,'UNAC Calc.(Save)'!AE5))</f>
        <v/>
      </c>
      <c r="AF4" s="40" t="str">
        <f>IF(AF5="",AF5,IF('UNAC-UHCP'!$C$10="Yes",'UNAC Calc.(Save)'!AF5*1.2,'UNAC Calc.(Save)'!AF5))</f>
        <v/>
      </c>
      <c r="AG4" s="40" t="str">
        <f>IF(AG5="",AG5,IF('UNAC-UHCP'!$C$10="Yes",'UNAC Calc.(Save)'!AG5*1.2,'UNAC Calc.(Save)'!AG5))</f>
        <v/>
      </c>
    </row>
    <row r="5" spans="1:35" x14ac:dyDescent="0.25">
      <c r="B5" t="s">
        <v>150</v>
      </c>
      <c r="C5" t="s">
        <v>87</v>
      </c>
      <c r="D5" t="s">
        <v>67</v>
      </c>
      <c r="E5" s="3" t="s">
        <v>55</v>
      </c>
      <c r="F5">
        <v>2</v>
      </c>
      <c r="G5">
        <v>2014</v>
      </c>
      <c r="H5" t="s">
        <v>17</v>
      </c>
      <c r="I5" t="s">
        <v>17</v>
      </c>
      <c r="J5" s="5">
        <v>1</v>
      </c>
      <c r="K5" s="5" t="s">
        <v>92</v>
      </c>
      <c r="L5" s="31">
        <v>39.645000000000003</v>
      </c>
      <c r="M5" s="31">
        <v>42.023000000000003</v>
      </c>
      <c r="N5" s="31">
        <v>45.386000000000003</v>
      </c>
      <c r="O5" s="31">
        <v>47.655000000000001</v>
      </c>
      <c r="P5" s="31">
        <v>50.037999999999997</v>
      </c>
      <c r="Q5" s="31">
        <v>52.04</v>
      </c>
      <c r="R5" s="31">
        <v>54.12</v>
      </c>
      <c r="S5" s="31">
        <v>56.014000000000003</v>
      </c>
      <c r="T5" s="31">
        <v>57.835999999999999</v>
      </c>
      <c r="U5" s="31">
        <v>59.715000000000003</v>
      </c>
      <c r="V5" s="31">
        <v>61.267000000000003</v>
      </c>
      <c r="W5" s="31">
        <v>62.798999999999999</v>
      </c>
      <c r="X5" s="31">
        <v>64.369</v>
      </c>
      <c r="AA5">
        <f>'UNAC-UHCP'!C7</f>
        <v>0</v>
      </c>
      <c r="AB5" t="e">
        <f>IF(AA5=" "," ",HLOOKUP(AA5,J4:X19,AI12,FALSE))</f>
        <v>#N/A</v>
      </c>
      <c r="AC5" s="41" t="str">
        <f>IF(OR('UNAC-UHCP'!C5="",'UNAC-UHCP'!C6="",'UNAC-UHCP'!C7="",'UNAC-UHCP'!C8="",'UNAC-UHCP'!C10="",'UNAC-UHCP'!C12="",'UNAC-UHCP'!D12="",'UNAC-UHCP'!E12="",'UNAC-UHCP'!C9="",'UNAC-UHCP'!C12="",'UNAC-UHCP'!D12="",'UNAC-UHCP'!E12=""),"",AB5)</f>
        <v/>
      </c>
      <c r="AD5" s="5" t="s">
        <v>146</v>
      </c>
      <c r="AE5" t="str">
        <f>IF(OR(AE7="",AE7="Error"),AE7,AE6)</f>
        <v/>
      </c>
      <c r="AF5" t="str">
        <f>IF(OR(AF7="",AF7="Error"),AF7,AF6)</f>
        <v/>
      </c>
      <c r="AG5" t="str">
        <f>IF(OR(AG7="",AG7="Error"),AG7,AG6)</f>
        <v/>
      </c>
    </row>
    <row r="6" spans="1:35" x14ac:dyDescent="0.25">
      <c r="B6" t="s">
        <v>151</v>
      </c>
      <c r="C6" t="s">
        <v>88</v>
      </c>
      <c r="D6" t="s">
        <v>68</v>
      </c>
      <c r="E6" s="3" t="s">
        <v>5</v>
      </c>
      <c r="F6">
        <v>3</v>
      </c>
      <c r="G6">
        <v>2013</v>
      </c>
      <c r="J6" s="5">
        <v>2</v>
      </c>
      <c r="K6" s="5" t="s">
        <v>94</v>
      </c>
      <c r="L6" s="30">
        <v>41.232999999999997</v>
      </c>
      <c r="M6" s="30">
        <v>43.707000000000001</v>
      </c>
      <c r="N6" s="30">
        <v>47.203000000000003</v>
      </c>
      <c r="O6" s="30">
        <v>49.564</v>
      </c>
      <c r="P6" s="30">
        <v>52.040999999999997</v>
      </c>
      <c r="Q6" s="30">
        <v>54.122</v>
      </c>
      <c r="R6" s="30">
        <v>56.286999999999999</v>
      </c>
      <c r="S6" s="30">
        <v>58.256999999999998</v>
      </c>
      <c r="T6" s="30">
        <v>60.15</v>
      </c>
      <c r="U6" s="30">
        <v>62.106000000000002</v>
      </c>
      <c r="V6" s="30">
        <v>63.720999999999997</v>
      </c>
      <c r="W6" s="30">
        <v>65.313000000000002</v>
      </c>
      <c r="X6" s="30">
        <v>66.947000000000003</v>
      </c>
      <c r="AC6" s="40"/>
      <c r="AD6" s="5" t="s">
        <v>147</v>
      </c>
      <c r="AE6" t="e">
        <f ca="1">IF(AA10=1,AA16,AC20)</f>
        <v>#VALUE!</v>
      </c>
      <c r="AF6" t="e">
        <f ca="1">IF(AA10=1,AA18,AC23)</f>
        <v>#VALUE!</v>
      </c>
      <c r="AG6" t="e">
        <f ca="1">IF(AA10=1,AA20,AC26)</f>
        <v>#VALUE!</v>
      </c>
    </row>
    <row r="7" spans="1:35" x14ac:dyDescent="0.25">
      <c r="B7" t="s">
        <v>152</v>
      </c>
      <c r="D7" t="s">
        <v>69</v>
      </c>
      <c r="E7" s="3" t="s">
        <v>6</v>
      </c>
      <c r="F7">
        <v>4</v>
      </c>
      <c r="G7">
        <v>2012</v>
      </c>
      <c r="J7" s="5">
        <v>3</v>
      </c>
      <c r="K7" s="5" t="s">
        <v>96</v>
      </c>
      <c r="L7" s="31" t="s">
        <v>91</v>
      </c>
      <c r="M7" s="30">
        <v>44.125</v>
      </c>
      <c r="N7" s="30">
        <v>47.655000000000001</v>
      </c>
      <c r="O7" s="30">
        <v>50.037999999999997</v>
      </c>
      <c r="P7" s="30">
        <v>52.539000000000001</v>
      </c>
      <c r="Q7" s="30">
        <v>54.64</v>
      </c>
      <c r="R7" s="30">
        <v>56.826999999999998</v>
      </c>
      <c r="S7" s="30">
        <v>58.814999999999998</v>
      </c>
      <c r="T7" s="30">
        <v>60.726999999999997</v>
      </c>
      <c r="U7" s="30">
        <v>62.7</v>
      </c>
      <c r="V7" s="30">
        <v>64.331000000000003</v>
      </c>
      <c r="W7" s="30">
        <v>65.94</v>
      </c>
      <c r="X7" s="30">
        <v>67.588999999999999</v>
      </c>
      <c r="AC7" s="40"/>
      <c r="AD7" s="5" t="s">
        <v>148</v>
      </c>
      <c r="AE7" t="str">
        <f>'UNAC-UHCP'!C15</f>
        <v/>
      </c>
      <c r="AF7" t="str">
        <f>AE7</f>
        <v/>
      </c>
      <c r="AG7" t="str">
        <f>AE7</f>
        <v/>
      </c>
    </row>
    <row r="8" spans="1:35" ht="18.75" x14ac:dyDescent="0.3">
      <c r="B8" t="s">
        <v>153</v>
      </c>
      <c r="D8" t="s">
        <v>70</v>
      </c>
      <c r="E8" s="3" t="s">
        <v>7</v>
      </c>
      <c r="F8">
        <v>5</v>
      </c>
      <c r="G8">
        <v>2011</v>
      </c>
      <c r="J8" s="5">
        <v>4</v>
      </c>
      <c r="K8" s="5" t="s">
        <v>97</v>
      </c>
      <c r="L8" s="31" t="s">
        <v>91</v>
      </c>
      <c r="M8" s="30">
        <v>45.235999999999997</v>
      </c>
      <c r="N8" s="30">
        <v>48.854999999999997</v>
      </c>
      <c r="O8" s="30">
        <v>51.296999999999997</v>
      </c>
      <c r="P8" s="30">
        <v>53.863</v>
      </c>
      <c r="Q8" s="30">
        <v>56.018000000000001</v>
      </c>
      <c r="R8" s="30">
        <v>58.256999999999998</v>
      </c>
      <c r="S8" s="30">
        <v>60.295999999999999</v>
      </c>
      <c r="T8" s="30">
        <v>62.255000000000003</v>
      </c>
      <c r="U8" s="30">
        <v>64.28</v>
      </c>
      <c r="V8" s="30">
        <v>65.950999999999993</v>
      </c>
      <c r="W8" s="30">
        <v>67.599999999999994</v>
      </c>
      <c r="X8" s="30">
        <v>69.289000000000001</v>
      </c>
      <c r="Z8" s="139" t="s">
        <v>114</v>
      </c>
      <c r="AA8" s="140"/>
      <c r="AB8" s="140"/>
      <c r="AC8" s="140"/>
      <c r="AD8" s="140"/>
      <c r="AE8" s="140"/>
      <c r="AF8" s="140"/>
      <c r="AG8" s="140"/>
      <c r="AH8" s="140"/>
    </row>
    <row r="9" spans="1:35" x14ac:dyDescent="0.25">
      <c r="B9" t="s">
        <v>154</v>
      </c>
      <c r="D9" t="s">
        <v>71</v>
      </c>
      <c r="E9" s="3" t="s">
        <v>8</v>
      </c>
      <c r="F9">
        <v>6</v>
      </c>
      <c r="G9">
        <v>2010</v>
      </c>
      <c r="J9" s="5">
        <v>5</v>
      </c>
      <c r="K9" s="5" t="s">
        <v>101</v>
      </c>
      <c r="L9" s="31" t="s">
        <v>91</v>
      </c>
      <c r="M9" s="30">
        <v>45.235999999999997</v>
      </c>
      <c r="N9" s="30">
        <v>48.854999999999997</v>
      </c>
      <c r="O9" s="30">
        <v>51.296999999999997</v>
      </c>
      <c r="P9" s="30">
        <v>53.863</v>
      </c>
      <c r="Q9" s="30">
        <v>56.018000000000001</v>
      </c>
      <c r="R9" s="30">
        <v>58.256999999999998</v>
      </c>
      <c r="S9" s="30">
        <v>60.295999999999999</v>
      </c>
      <c r="T9" s="30">
        <v>62.256</v>
      </c>
      <c r="U9" s="30">
        <v>64.28</v>
      </c>
      <c r="V9" s="30">
        <v>65.950999999999993</v>
      </c>
      <c r="W9" s="30">
        <v>67.599999999999994</v>
      </c>
      <c r="X9" s="30">
        <v>69.289000000000001</v>
      </c>
      <c r="AC9" s="40"/>
    </row>
    <row r="10" spans="1:35" x14ac:dyDescent="0.25">
      <c r="D10" t="s">
        <v>72</v>
      </c>
      <c r="E10" s="3" t="s">
        <v>9</v>
      </c>
      <c r="F10">
        <v>7</v>
      </c>
      <c r="G10">
        <v>2009</v>
      </c>
      <c r="J10" s="5">
        <v>6</v>
      </c>
      <c r="K10" s="5" t="s">
        <v>160</v>
      </c>
      <c r="L10" s="31" t="s">
        <v>91</v>
      </c>
      <c r="M10" s="30">
        <v>47.497</v>
      </c>
      <c r="N10" s="30">
        <v>51.296999999999997</v>
      </c>
      <c r="O10" s="30">
        <v>53.863</v>
      </c>
      <c r="P10" s="30">
        <v>56.555</v>
      </c>
      <c r="Q10" s="30">
        <v>58.817</v>
      </c>
      <c r="R10" s="30">
        <v>61.170999999999999</v>
      </c>
      <c r="S10" s="30">
        <v>63.311</v>
      </c>
      <c r="T10" s="30">
        <v>65.37</v>
      </c>
      <c r="U10" s="30">
        <v>67.495000000000005</v>
      </c>
      <c r="V10" s="30">
        <v>69.248000000000005</v>
      </c>
      <c r="W10" s="30">
        <v>70.98</v>
      </c>
      <c r="X10" s="30">
        <v>72.754000000000005</v>
      </c>
      <c r="Z10" s="5" t="s">
        <v>115</v>
      </c>
      <c r="AA10">
        <f>IF('UNAC-UHCP'!C6="FT",1,2)</f>
        <v>2</v>
      </c>
      <c r="AC10" s="40"/>
      <c r="AI10" s="69"/>
    </row>
    <row r="11" spans="1:35" x14ac:dyDescent="0.25">
      <c r="D11" t="s">
        <v>73</v>
      </c>
      <c r="E11" s="3" t="s">
        <v>10</v>
      </c>
      <c r="F11">
        <v>8</v>
      </c>
      <c r="G11">
        <v>2008</v>
      </c>
      <c r="J11" s="5">
        <v>7</v>
      </c>
      <c r="K11" s="5" t="s">
        <v>93</v>
      </c>
      <c r="L11" s="31">
        <v>47.573999999999998</v>
      </c>
      <c r="M11" s="31">
        <v>50.427999999999997</v>
      </c>
      <c r="N11" s="31">
        <v>54.463000000000001</v>
      </c>
      <c r="O11" s="31">
        <v>57.186</v>
      </c>
      <c r="P11" s="31">
        <v>60.045999999999999</v>
      </c>
      <c r="Q11" s="31">
        <v>62.448</v>
      </c>
      <c r="R11" s="31">
        <v>64.944000000000003</v>
      </c>
      <c r="S11" s="31">
        <v>67.216999999999999</v>
      </c>
      <c r="T11" s="31">
        <v>69.403000000000006</v>
      </c>
      <c r="U11" s="31">
        <v>71.658000000000001</v>
      </c>
      <c r="V11" s="31">
        <v>73.52</v>
      </c>
      <c r="W11" s="31">
        <v>75.358999999999995</v>
      </c>
      <c r="X11" s="31">
        <v>77.242999999999995</v>
      </c>
      <c r="Z11" s="141" t="s">
        <v>127</v>
      </c>
      <c r="AA11" s="141"/>
      <c r="AB11" s="141" t="s">
        <v>128</v>
      </c>
      <c r="AC11" s="141"/>
      <c r="AD11" s="11"/>
      <c r="AE11" s="141" t="s">
        <v>133</v>
      </c>
      <c r="AF11" s="140"/>
      <c r="AG11" s="52"/>
      <c r="AH11" s="70" t="s">
        <v>159</v>
      </c>
      <c r="AI11" t="str">
        <f>'UNAC-UHCP'!C5&amp;'UNAC-UHCP'!C6</f>
        <v/>
      </c>
    </row>
    <row r="12" spans="1:35" x14ac:dyDescent="0.25">
      <c r="D12" t="s">
        <v>74</v>
      </c>
      <c r="E12" s="3" t="s">
        <v>11</v>
      </c>
      <c r="F12">
        <v>9</v>
      </c>
      <c r="G12">
        <v>2007</v>
      </c>
      <c r="J12" s="5">
        <v>8</v>
      </c>
      <c r="K12" s="5" t="s">
        <v>95</v>
      </c>
      <c r="L12" s="31">
        <v>49.48</v>
      </c>
      <c r="M12" s="31">
        <v>52.448</v>
      </c>
      <c r="N12" s="31">
        <v>56.643999999999998</v>
      </c>
      <c r="O12" s="31">
        <v>59.476999999999997</v>
      </c>
      <c r="P12" s="31">
        <v>62.448999999999998</v>
      </c>
      <c r="Q12" s="31">
        <v>64.945999999999998</v>
      </c>
      <c r="R12" s="31">
        <v>67.543999999999997</v>
      </c>
      <c r="S12" s="31">
        <v>69.908000000000001</v>
      </c>
      <c r="T12" s="31">
        <v>72.180000000000007</v>
      </c>
      <c r="U12" s="31">
        <v>74.527000000000001</v>
      </c>
      <c r="V12" s="31">
        <v>76.465000000000003</v>
      </c>
      <c r="W12" s="31">
        <v>78.376000000000005</v>
      </c>
      <c r="X12" s="31">
        <v>80.335999999999999</v>
      </c>
      <c r="Z12" s="5" t="s">
        <v>190</v>
      </c>
      <c r="AA12" s="78" t="e">
        <f>(HLOOKUP(AA5,J4:X21,18,FALSE))</f>
        <v>#N/A</v>
      </c>
      <c r="AB12" s="5" t="s">
        <v>123</v>
      </c>
      <c r="AC12" s="38" t="str">
        <f>AF13&amp;"/"&amp;'UNAC-UHCP'!D12&amp;"/"&amp;'UNAC-UHCP'!E12</f>
        <v xml:space="preserve"> //</v>
      </c>
      <c r="AE12" s="5" t="s">
        <v>135</v>
      </c>
      <c r="AF12">
        <f>'UNAC-UHCP'!C12</f>
        <v>0</v>
      </c>
      <c r="AH12" s="5" t="s">
        <v>163</v>
      </c>
      <c r="AI12" t="e">
        <f>VLOOKUP(AI11,AH14:AI32,2,FALSE)</f>
        <v>#N/A</v>
      </c>
    </row>
    <row r="13" spans="1:35" x14ac:dyDescent="0.25">
      <c r="D13" t="s">
        <v>75</v>
      </c>
      <c r="E13" s="3" t="s">
        <v>12</v>
      </c>
      <c r="F13">
        <v>10</v>
      </c>
      <c r="G13">
        <v>2006</v>
      </c>
      <c r="J13" s="5">
        <v>9</v>
      </c>
      <c r="K13" s="5" t="s">
        <v>98</v>
      </c>
      <c r="L13" s="31" t="s">
        <v>91</v>
      </c>
      <c r="M13" s="31">
        <v>52.95</v>
      </c>
      <c r="N13" s="31">
        <v>57.186</v>
      </c>
      <c r="O13" s="31">
        <v>60.045999999999999</v>
      </c>
      <c r="P13" s="31">
        <v>63.046999999999997</v>
      </c>
      <c r="Q13" s="31">
        <v>65.567999999999998</v>
      </c>
      <c r="R13" s="31">
        <v>68.191999999999993</v>
      </c>
      <c r="S13" s="31">
        <v>70.578000000000003</v>
      </c>
      <c r="T13" s="31">
        <v>72.872</v>
      </c>
      <c r="U13" s="31">
        <v>75.239999999999995</v>
      </c>
      <c r="V13" s="31">
        <v>77.197000000000003</v>
      </c>
      <c r="W13" s="31">
        <v>79.128</v>
      </c>
      <c r="X13" s="31">
        <v>81.106999999999999</v>
      </c>
      <c r="Z13" s="5" t="s">
        <v>191</v>
      </c>
      <c r="AA13" s="78" t="e">
        <f ca="1">((AC13-AC12)/365)*1600</f>
        <v>#VALUE!</v>
      </c>
      <c r="AB13" s="5" t="s">
        <v>124</v>
      </c>
      <c r="AC13" s="38">
        <f ca="1">TODAY()</f>
        <v>42184</v>
      </c>
      <c r="AE13" s="5" t="s">
        <v>134</v>
      </c>
      <c r="AF13" t="str">
        <f>VLOOKUP(AF12,AE14:AF26,2,FALSE)</f>
        <v xml:space="preserve"> </v>
      </c>
      <c r="AH13" s="5" t="s">
        <v>162</v>
      </c>
    </row>
    <row r="14" spans="1:35" x14ac:dyDescent="0.25">
      <c r="D14" t="s">
        <v>76</v>
      </c>
      <c r="E14" s="3" t="s">
        <v>13</v>
      </c>
      <c r="F14">
        <v>11</v>
      </c>
      <c r="G14">
        <v>2005</v>
      </c>
      <c r="J14" s="5">
        <v>10</v>
      </c>
      <c r="K14" s="5" t="s">
        <v>99</v>
      </c>
      <c r="L14" s="31" t="s">
        <v>91</v>
      </c>
      <c r="M14" s="31">
        <v>54.283000000000001</v>
      </c>
      <c r="N14" s="31">
        <v>58.625999999999998</v>
      </c>
      <c r="O14" s="31">
        <v>61.555999999999997</v>
      </c>
      <c r="P14" s="31">
        <v>64.635999999999996</v>
      </c>
      <c r="Q14" s="31">
        <v>67.221999999999994</v>
      </c>
      <c r="R14" s="31">
        <v>69.908000000000001</v>
      </c>
      <c r="S14" s="31">
        <v>72.355000000000004</v>
      </c>
      <c r="T14" s="31">
        <v>74.706000000000003</v>
      </c>
      <c r="U14" s="31">
        <v>77.135999999999996</v>
      </c>
      <c r="V14" s="31">
        <v>79.141000000000005</v>
      </c>
      <c r="W14" s="31">
        <v>81.12</v>
      </c>
      <c r="X14" s="31">
        <v>83.147000000000006</v>
      </c>
      <c r="Z14" s="5" t="s">
        <v>116</v>
      </c>
      <c r="AA14" s="78" t="e">
        <f ca="1">AA12+AA13</f>
        <v>#N/A</v>
      </c>
      <c r="AB14" s="5" t="s">
        <v>125</v>
      </c>
      <c r="AC14" s="42" t="e">
        <f ca="1">(AC13-AC12)/7</f>
        <v>#VALUE!</v>
      </c>
      <c r="AE14">
        <v>0</v>
      </c>
      <c r="AF14" t="s">
        <v>109</v>
      </c>
      <c r="AI14">
        <v>1</v>
      </c>
    </row>
    <row r="15" spans="1:35" x14ac:dyDescent="0.25">
      <c r="D15" t="s">
        <v>77</v>
      </c>
      <c r="E15" s="3" t="s">
        <v>14</v>
      </c>
      <c r="F15">
        <v>12</v>
      </c>
      <c r="G15">
        <v>2004</v>
      </c>
      <c r="J15" s="5">
        <v>11</v>
      </c>
      <c r="K15" s="5" t="s">
        <v>108</v>
      </c>
      <c r="L15" s="31" t="s">
        <v>91</v>
      </c>
      <c r="M15" s="31">
        <v>54.283000000000001</v>
      </c>
      <c r="N15" s="31">
        <v>58.625999999999998</v>
      </c>
      <c r="O15" s="31">
        <v>61.555999999999997</v>
      </c>
      <c r="P15" s="31">
        <v>64.635999999999996</v>
      </c>
      <c r="Q15" s="31">
        <v>67.221999999999994</v>
      </c>
      <c r="R15" s="31">
        <v>69.908000000000001</v>
      </c>
      <c r="S15" s="31">
        <v>72.355000000000004</v>
      </c>
      <c r="T15" s="31">
        <v>74.706999999999994</v>
      </c>
      <c r="U15" s="31">
        <v>77.135999999999996</v>
      </c>
      <c r="V15" s="31">
        <v>79.141000000000005</v>
      </c>
      <c r="W15" s="31">
        <v>81.12</v>
      </c>
      <c r="X15" s="31">
        <v>83.147000000000006</v>
      </c>
      <c r="Z15" s="5" t="s">
        <v>117</v>
      </c>
      <c r="AA15" s="56" t="e">
        <f ca="1">AA14+1600+Z31</f>
        <v>#N/A</v>
      </c>
      <c r="AB15" s="5" t="s">
        <v>126</v>
      </c>
      <c r="AC15" s="42" t="e">
        <f ca="1">AC14*'UNAC-UHCP'!C8+Z31</f>
        <v>#VALUE!</v>
      </c>
      <c r="AE15" t="str">
        <f t="shared" ref="AE15:AE26" si="0">E4</f>
        <v>January</v>
      </c>
      <c r="AF15">
        <f t="shared" ref="AF15:AF26" si="1">F4</f>
        <v>1</v>
      </c>
      <c r="AH15" t="str">
        <f>B4&amp;$C$4</f>
        <v>Level IIFT</v>
      </c>
      <c r="AI15">
        <v>2</v>
      </c>
    </row>
    <row r="16" spans="1:35" x14ac:dyDescent="0.25">
      <c r="D16" t="s">
        <v>78</v>
      </c>
      <c r="F16">
        <v>13</v>
      </c>
      <c r="G16">
        <v>2003</v>
      </c>
      <c r="J16" s="5">
        <v>12</v>
      </c>
      <c r="K16" s="5" t="s">
        <v>161</v>
      </c>
      <c r="L16" s="31" t="s">
        <v>91</v>
      </c>
      <c r="M16" s="31">
        <v>56.996000000000002</v>
      </c>
      <c r="N16" s="31">
        <v>61.555999999999997</v>
      </c>
      <c r="O16" s="31">
        <v>64.635999999999996</v>
      </c>
      <c r="P16" s="31">
        <v>67.866</v>
      </c>
      <c r="Q16" s="31">
        <v>70.58</v>
      </c>
      <c r="R16" s="31">
        <v>73.405000000000001</v>
      </c>
      <c r="S16" s="31">
        <v>75.972999999999999</v>
      </c>
      <c r="T16" s="31">
        <v>78.444000000000003</v>
      </c>
      <c r="U16" s="31">
        <v>80.994</v>
      </c>
      <c r="V16" s="31">
        <v>83.097999999999999</v>
      </c>
      <c r="W16" s="31">
        <v>85.176000000000002</v>
      </c>
      <c r="X16" s="31">
        <v>87.305000000000007</v>
      </c>
      <c r="Z16" s="5" t="s">
        <v>118</v>
      </c>
      <c r="AA16" s="35" t="e">
        <f ca="1">HLOOKUP(AA15,J21:X36,AI12+1,TRUE)</f>
        <v>#N/A</v>
      </c>
      <c r="AB16" s="5" t="s">
        <v>129</v>
      </c>
      <c r="AC16" s="42" t="e">
        <f ca="1">AC15+AA12</f>
        <v>#VALUE!</v>
      </c>
      <c r="AE16" t="str">
        <f t="shared" si="0"/>
        <v>Febuary</v>
      </c>
      <c r="AF16">
        <f t="shared" si="1"/>
        <v>2</v>
      </c>
      <c r="AH16" t="str">
        <f t="shared" ref="AH16:AH20" si="2">B5&amp;$C$4</f>
        <v>Level IIIFT</v>
      </c>
      <c r="AI16">
        <v>3</v>
      </c>
    </row>
    <row r="17" spans="6:35" x14ac:dyDescent="0.25">
      <c r="F17">
        <v>14</v>
      </c>
      <c r="G17">
        <v>2002</v>
      </c>
      <c r="J17" s="5">
        <v>13</v>
      </c>
      <c r="K17" s="5" t="s">
        <v>109</v>
      </c>
      <c r="L17" s="5" t="s">
        <v>109</v>
      </c>
      <c r="M17" s="5" t="s">
        <v>109</v>
      </c>
      <c r="N17" s="5" t="s">
        <v>109</v>
      </c>
      <c r="O17" s="5" t="s">
        <v>109</v>
      </c>
      <c r="P17" s="5" t="s">
        <v>109</v>
      </c>
      <c r="Q17" s="5" t="s">
        <v>109</v>
      </c>
      <c r="R17" s="5" t="s">
        <v>109</v>
      </c>
      <c r="S17" s="5" t="s">
        <v>109</v>
      </c>
      <c r="T17" s="5" t="s">
        <v>109</v>
      </c>
      <c r="U17" s="5" t="s">
        <v>109</v>
      </c>
      <c r="V17" s="5" t="s">
        <v>109</v>
      </c>
      <c r="W17" s="5" t="s">
        <v>109</v>
      </c>
      <c r="X17" s="5" t="s">
        <v>109</v>
      </c>
      <c r="Z17" s="5" t="s">
        <v>119</v>
      </c>
      <c r="AA17" s="56" t="e">
        <f ca="1">AA15+1600</f>
        <v>#N/A</v>
      </c>
      <c r="AB17" s="5" t="s">
        <v>130</v>
      </c>
      <c r="AC17" s="40">
        <f>'UNAC-UHCP'!C8*52</f>
        <v>0</v>
      </c>
      <c r="AE17" t="str">
        <f t="shared" si="0"/>
        <v>March</v>
      </c>
      <c r="AF17">
        <f t="shared" si="1"/>
        <v>3</v>
      </c>
      <c r="AH17" t="str">
        <f t="shared" si="2"/>
        <v>Level IVFT</v>
      </c>
      <c r="AI17">
        <v>4</v>
      </c>
    </row>
    <row r="18" spans="6:35" x14ac:dyDescent="0.25">
      <c r="F18">
        <v>15</v>
      </c>
      <c r="G18">
        <v>2001</v>
      </c>
      <c r="J18" s="5">
        <v>14</v>
      </c>
      <c r="L18" s="31" t="s">
        <v>91</v>
      </c>
      <c r="M18" s="31" t="s">
        <v>91</v>
      </c>
      <c r="N18" s="31" t="s">
        <v>91</v>
      </c>
      <c r="O18" s="31" t="s">
        <v>91</v>
      </c>
      <c r="P18" s="31" t="s">
        <v>91</v>
      </c>
      <c r="Q18" s="31" t="s">
        <v>91</v>
      </c>
      <c r="R18" s="31" t="s">
        <v>91</v>
      </c>
      <c r="S18" s="31" t="s">
        <v>91</v>
      </c>
      <c r="T18" s="31" t="s">
        <v>91</v>
      </c>
      <c r="U18" s="31" t="s">
        <v>91</v>
      </c>
      <c r="V18" s="31" t="s">
        <v>91</v>
      </c>
      <c r="W18" s="31" t="s">
        <v>91</v>
      </c>
      <c r="X18" s="31" t="s">
        <v>91</v>
      </c>
      <c r="Z18" s="5" t="s">
        <v>120</v>
      </c>
      <c r="AA18" s="35" t="e">
        <f ca="1">HLOOKUP(AA17,J39:X54,AI12+1,TRUE)</f>
        <v>#N/A</v>
      </c>
      <c r="AB18" s="5" t="s">
        <v>131</v>
      </c>
      <c r="AC18" s="42" t="e">
        <f ca="1">AC17+AC16</f>
        <v>#VALUE!</v>
      </c>
      <c r="AE18" t="str">
        <f t="shared" si="0"/>
        <v>April</v>
      </c>
      <c r="AF18">
        <f t="shared" si="1"/>
        <v>4</v>
      </c>
      <c r="AH18" t="str">
        <f t="shared" si="2"/>
        <v>Level VFT</v>
      </c>
      <c r="AI18">
        <v>5</v>
      </c>
    </row>
    <row r="19" spans="6:35" x14ac:dyDescent="0.25">
      <c r="F19">
        <v>16</v>
      </c>
      <c r="G19">
        <v>2000</v>
      </c>
      <c r="J19" t="s">
        <v>109</v>
      </c>
      <c r="Z19" s="5" t="s">
        <v>121</v>
      </c>
      <c r="AA19" s="56" t="e">
        <f ca="1">AA17+1600</f>
        <v>#N/A</v>
      </c>
      <c r="AB19" s="5" t="s">
        <v>132</v>
      </c>
      <c r="AC19" s="39" t="e">
        <f ca="1">HLOOKUP(AC18,J21:X36,2,TRUE)</f>
        <v>#VALUE!</v>
      </c>
      <c r="AE19" t="str">
        <f t="shared" si="0"/>
        <v>May</v>
      </c>
      <c r="AF19">
        <f t="shared" si="1"/>
        <v>5</v>
      </c>
      <c r="AH19" t="str">
        <f t="shared" si="2"/>
        <v>PHNFT</v>
      </c>
      <c r="AI19">
        <v>6</v>
      </c>
    </row>
    <row r="20" spans="6:35" x14ac:dyDescent="0.25">
      <c r="F20">
        <v>17</v>
      </c>
      <c r="J20" s="138" t="s">
        <v>112</v>
      </c>
      <c r="K20" s="137"/>
      <c r="L20" s="137"/>
      <c r="M20" s="137"/>
      <c r="N20" s="137"/>
      <c r="O20" s="137"/>
      <c r="P20" s="137"/>
      <c r="Q20" s="137"/>
      <c r="R20" s="137"/>
      <c r="S20" s="137"/>
      <c r="T20" s="137"/>
      <c r="U20" s="137"/>
      <c r="V20" s="137"/>
      <c r="W20" s="137"/>
      <c r="X20" s="137"/>
      <c r="Z20" s="5" t="s">
        <v>122</v>
      </c>
      <c r="AA20" s="36" t="e">
        <f ca="1">HLOOKUP(AA19,J58:X74,AI12+1,TRUE)</f>
        <v>#N/A</v>
      </c>
      <c r="AB20" s="5" t="s">
        <v>139</v>
      </c>
      <c r="AC20" s="43" t="e">
        <f ca="1">HLOOKUP(AC18,J21:X36,AI12+1,TRUE)</f>
        <v>#VALUE!</v>
      </c>
      <c r="AE20" t="str">
        <f t="shared" si="0"/>
        <v>June</v>
      </c>
      <c r="AF20">
        <f t="shared" si="1"/>
        <v>6</v>
      </c>
      <c r="AH20" t="str">
        <f t="shared" si="2"/>
        <v>Sr. PHNFT</v>
      </c>
      <c r="AI20">
        <v>7</v>
      </c>
    </row>
    <row r="21" spans="6:35" x14ac:dyDescent="0.25">
      <c r="F21">
        <v>18</v>
      </c>
      <c r="K21" s="5"/>
      <c r="L21" s="29">
        <v>-800</v>
      </c>
      <c r="M21" s="29">
        <v>0</v>
      </c>
      <c r="N21" s="29">
        <v>1600</v>
      </c>
      <c r="O21" s="29">
        <f>N21*2</f>
        <v>3200</v>
      </c>
      <c r="P21" s="29">
        <f>N21*3</f>
        <v>4800</v>
      </c>
      <c r="Q21" s="29">
        <f>N21*4</f>
        <v>6400</v>
      </c>
      <c r="R21" s="29">
        <f>N21*5</f>
        <v>8000</v>
      </c>
      <c r="S21" s="29">
        <f>N21*6</f>
        <v>9600</v>
      </c>
      <c r="T21" s="29">
        <f>N21*8</f>
        <v>12800</v>
      </c>
      <c r="U21" s="29">
        <f>N21*10</f>
        <v>16000</v>
      </c>
      <c r="V21" s="29">
        <f>N21*15</f>
        <v>24000</v>
      </c>
      <c r="W21" s="29">
        <f>N21*20</f>
        <v>32000</v>
      </c>
      <c r="X21" s="29">
        <f>N21*25</f>
        <v>40000</v>
      </c>
      <c r="AB21" s="5" t="s">
        <v>138</v>
      </c>
      <c r="AC21" s="42" t="e">
        <f ca="1">AC18+AC17</f>
        <v>#VALUE!</v>
      </c>
      <c r="AE21" t="str">
        <f t="shared" si="0"/>
        <v>July</v>
      </c>
      <c r="AF21">
        <f t="shared" si="1"/>
        <v>7</v>
      </c>
      <c r="AH21" t="str">
        <f>B4&amp;$C$5</f>
        <v>Level IIPT</v>
      </c>
      <c r="AI21">
        <v>2</v>
      </c>
    </row>
    <row r="22" spans="6:35" x14ac:dyDescent="0.25">
      <c r="F22">
        <v>19</v>
      </c>
      <c r="K22" s="5"/>
      <c r="L22" s="29" t="s">
        <v>89</v>
      </c>
      <c r="M22" s="29" t="s">
        <v>67</v>
      </c>
      <c r="N22" s="29" t="s">
        <v>68</v>
      </c>
      <c r="O22" s="29" t="s">
        <v>69</v>
      </c>
      <c r="P22" s="29" t="s">
        <v>70</v>
      </c>
      <c r="Q22" s="29" t="s">
        <v>71</v>
      </c>
      <c r="R22" s="29" t="s">
        <v>72</v>
      </c>
      <c r="S22" s="29" t="s">
        <v>73</v>
      </c>
      <c r="T22" s="29" t="s">
        <v>74</v>
      </c>
      <c r="U22" s="29" t="s">
        <v>75</v>
      </c>
      <c r="V22" s="29" t="s">
        <v>76</v>
      </c>
      <c r="W22" s="29" t="s">
        <v>77</v>
      </c>
      <c r="X22" s="29" t="s">
        <v>78</v>
      </c>
      <c r="AB22" s="5" t="s">
        <v>140</v>
      </c>
      <c r="AC22" s="40" t="e">
        <f ca="1">HLOOKUP(AC21,J39:X54,2,TRUE)</f>
        <v>#VALUE!</v>
      </c>
      <c r="AE22" t="str">
        <f t="shared" si="0"/>
        <v>August</v>
      </c>
      <c r="AF22">
        <f t="shared" si="1"/>
        <v>8</v>
      </c>
      <c r="AH22" t="str">
        <f t="shared" ref="AH22:AH25" si="3">B5&amp;$C$5</f>
        <v>Level IIIPT</v>
      </c>
      <c r="AI22">
        <v>3</v>
      </c>
    </row>
    <row r="23" spans="6:35" x14ac:dyDescent="0.25">
      <c r="F23">
        <v>20</v>
      </c>
      <c r="J23" s="5">
        <v>1</v>
      </c>
      <c r="K23" s="5" t="str">
        <f t="shared" ref="K23:K35" si="4">K5</f>
        <v>Level II (FT/PT)</v>
      </c>
      <c r="L23" s="33">
        <f t="shared" ref="L23:X23" si="5">L5*1.03</f>
        <v>40.834350000000008</v>
      </c>
      <c r="M23" s="33">
        <f t="shared" si="5"/>
        <v>43.283690000000007</v>
      </c>
      <c r="N23" s="33">
        <f t="shared" si="5"/>
        <v>46.747580000000006</v>
      </c>
      <c r="O23" s="33">
        <f t="shared" si="5"/>
        <v>49.084650000000003</v>
      </c>
      <c r="P23" s="33">
        <f t="shared" si="5"/>
        <v>51.539139999999996</v>
      </c>
      <c r="Q23" s="33">
        <f t="shared" si="5"/>
        <v>53.601199999999999</v>
      </c>
      <c r="R23" s="33">
        <f t="shared" si="5"/>
        <v>55.743600000000001</v>
      </c>
      <c r="S23" s="33">
        <f t="shared" si="5"/>
        <v>57.694420000000008</v>
      </c>
      <c r="T23" s="33">
        <f t="shared" si="5"/>
        <v>59.571080000000002</v>
      </c>
      <c r="U23" s="33">
        <f t="shared" si="5"/>
        <v>61.506450000000008</v>
      </c>
      <c r="V23" s="33">
        <f t="shared" si="5"/>
        <v>63.105010000000007</v>
      </c>
      <c r="W23" s="33">
        <f t="shared" si="5"/>
        <v>64.682969999999997</v>
      </c>
      <c r="X23" s="33">
        <f t="shared" si="5"/>
        <v>66.300070000000005</v>
      </c>
      <c r="AB23" s="5" t="s">
        <v>137</v>
      </c>
      <c r="AC23" s="39" t="e">
        <f ca="1">HLOOKUP(AC21,J39:X54,AI12+1,TRUE)</f>
        <v>#VALUE!</v>
      </c>
      <c r="AE23" t="str">
        <f t="shared" si="0"/>
        <v>September</v>
      </c>
      <c r="AF23">
        <f t="shared" si="1"/>
        <v>9</v>
      </c>
      <c r="AH23" t="str">
        <f t="shared" si="3"/>
        <v>Level IVPT</v>
      </c>
      <c r="AI23">
        <v>4</v>
      </c>
    </row>
    <row r="24" spans="6:35" x14ac:dyDescent="0.25">
      <c r="F24">
        <v>21</v>
      </c>
      <c r="J24" s="5">
        <v>2</v>
      </c>
      <c r="K24" s="5" t="str">
        <f t="shared" si="4"/>
        <v>Level III (FT/PT)</v>
      </c>
      <c r="L24" s="33">
        <f t="shared" ref="L24:X24" si="6">L6*1.03</f>
        <v>42.469989999999996</v>
      </c>
      <c r="M24" s="33">
        <f t="shared" si="6"/>
        <v>45.018210000000003</v>
      </c>
      <c r="N24" s="33">
        <f t="shared" si="6"/>
        <v>48.619090000000007</v>
      </c>
      <c r="O24" s="33">
        <f t="shared" si="6"/>
        <v>51.050919999999998</v>
      </c>
      <c r="P24" s="33">
        <f t="shared" si="6"/>
        <v>53.602229999999999</v>
      </c>
      <c r="Q24" s="33">
        <f t="shared" si="6"/>
        <v>55.745660000000001</v>
      </c>
      <c r="R24" s="33">
        <f t="shared" si="6"/>
        <v>57.975610000000003</v>
      </c>
      <c r="S24" s="33">
        <f t="shared" si="6"/>
        <v>60.004710000000003</v>
      </c>
      <c r="T24" s="33">
        <f t="shared" si="6"/>
        <v>61.954500000000003</v>
      </c>
      <c r="U24" s="33">
        <f t="shared" si="6"/>
        <v>63.969180000000001</v>
      </c>
      <c r="V24" s="33">
        <f t="shared" si="6"/>
        <v>65.632629999999992</v>
      </c>
      <c r="W24" s="33">
        <f t="shared" si="6"/>
        <v>67.272390000000001</v>
      </c>
      <c r="X24" s="33">
        <f t="shared" si="6"/>
        <v>68.955410000000001</v>
      </c>
      <c r="AB24" s="5" t="s">
        <v>141</v>
      </c>
      <c r="AC24" s="42" t="e">
        <f ca="1">AC21+AC17</f>
        <v>#VALUE!</v>
      </c>
      <c r="AE24" t="str">
        <f t="shared" si="0"/>
        <v>October</v>
      </c>
      <c r="AF24">
        <f t="shared" si="1"/>
        <v>10</v>
      </c>
      <c r="AH24" t="str">
        <f t="shared" si="3"/>
        <v>Level VPT</v>
      </c>
      <c r="AI24">
        <v>5</v>
      </c>
    </row>
    <row r="25" spans="6:35" x14ac:dyDescent="0.25">
      <c r="F25">
        <v>22</v>
      </c>
      <c r="J25" s="5">
        <v>3</v>
      </c>
      <c r="K25" s="5" t="str">
        <f t="shared" si="4"/>
        <v>Level IV (FT/PT)</v>
      </c>
      <c r="L25" s="33" t="s">
        <v>91</v>
      </c>
      <c r="M25" s="33">
        <f t="shared" ref="M25:X25" si="7">M7*1.03</f>
        <v>45.448750000000004</v>
      </c>
      <c r="N25" s="33">
        <f t="shared" si="7"/>
        <v>49.084650000000003</v>
      </c>
      <c r="O25" s="33">
        <f t="shared" si="7"/>
        <v>51.539139999999996</v>
      </c>
      <c r="P25" s="33">
        <f t="shared" si="7"/>
        <v>54.115170000000006</v>
      </c>
      <c r="Q25" s="33">
        <f t="shared" si="7"/>
        <v>56.279200000000003</v>
      </c>
      <c r="R25" s="33">
        <f t="shared" si="7"/>
        <v>58.53181</v>
      </c>
      <c r="S25" s="33">
        <f t="shared" si="7"/>
        <v>60.579450000000001</v>
      </c>
      <c r="T25" s="33">
        <f t="shared" si="7"/>
        <v>62.548809999999996</v>
      </c>
      <c r="U25" s="33">
        <f t="shared" si="7"/>
        <v>64.581000000000003</v>
      </c>
      <c r="V25" s="33">
        <f t="shared" si="7"/>
        <v>66.260930000000002</v>
      </c>
      <c r="W25" s="33">
        <f t="shared" si="7"/>
        <v>67.918199999999999</v>
      </c>
      <c r="X25" s="33">
        <f t="shared" si="7"/>
        <v>69.616669999999999</v>
      </c>
      <c r="AB25" s="5" t="s">
        <v>142</v>
      </c>
      <c r="AC25" s="40" t="e">
        <f ca="1">HLOOKUP(AC24,J58:X74,2,TRUE)</f>
        <v>#VALUE!</v>
      </c>
      <c r="AE25" t="str">
        <f t="shared" si="0"/>
        <v>November</v>
      </c>
      <c r="AF25">
        <f t="shared" si="1"/>
        <v>11</v>
      </c>
      <c r="AH25" t="str">
        <f t="shared" si="3"/>
        <v>PHNPT</v>
      </c>
      <c r="AI25">
        <v>6</v>
      </c>
    </row>
    <row r="26" spans="6:35" x14ac:dyDescent="0.25">
      <c r="F26">
        <v>23</v>
      </c>
      <c r="J26" s="5">
        <v>4</v>
      </c>
      <c r="K26" s="5" t="str">
        <f t="shared" si="4"/>
        <v>Level V (FT/PT)</v>
      </c>
      <c r="L26" s="33" t="s">
        <v>91</v>
      </c>
      <c r="M26" s="33">
        <f t="shared" ref="M26:X26" si="8">M8*1.03</f>
        <v>46.59308</v>
      </c>
      <c r="N26" s="33">
        <f t="shared" si="8"/>
        <v>50.320650000000001</v>
      </c>
      <c r="O26" s="33">
        <f t="shared" si="8"/>
        <v>52.835909999999998</v>
      </c>
      <c r="P26" s="33">
        <f t="shared" si="8"/>
        <v>55.47889</v>
      </c>
      <c r="Q26" s="33">
        <f t="shared" si="8"/>
        <v>57.698540000000001</v>
      </c>
      <c r="R26" s="33">
        <f t="shared" si="8"/>
        <v>60.004710000000003</v>
      </c>
      <c r="S26" s="33">
        <f t="shared" si="8"/>
        <v>62.104880000000001</v>
      </c>
      <c r="T26" s="33">
        <f t="shared" si="8"/>
        <v>64.122650000000007</v>
      </c>
      <c r="U26" s="33">
        <f t="shared" si="8"/>
        <v>66.208399999999997</v>
      </c>
      <c r="V26" s="33">
        <f t="shared" si="8"/>
        <v>67.92953</v>
      </c>
      <c r="W26" s="33">
        <f t="shared" si="8"/>
        <v>69.628</v>
      </c>
      <c r="X26" s="33">
        <f t="shared" si="8"/>
        <v>71.367670000000004</v>
      </c>
      <c r="Z26" s="33"/>
      <c r="AB26" s="5" t="s">
        <v>181</v>
      </c>
      <c r="AC26" s="39" t="e">
        <f ca="1">HLOOKUP(AC24,J58:X74,AI12+1,TRUE)</f>
        <v>#VALUE!</v>
      </c>
      <c r="AE26" t="str">
        <f t="shared" si="0"/>
        <v>December</v>
      </c>
      <c r="AF26">
        <f t="shared" si="1"/>
        <v>12</v>
      </c>
      <c r="AH26" t="str">
        <f>B9&amp;$C$5</f>
        <v>Sr. PHNPT</v>
      </c>
      <c r="AI26">
        <v>7</v>
      </c>
    </row>
    <row r="27" spans="6:35" x14ac:dyDescent="0.25">
      <c r="F27">
        <v>24</v>
      </c>
      <c r="J27" s="5">
        <v>5</v>
      </c>
      <c r="K27" s="5" t="str">
        <f t="shared" si="4"/>
        <v>PHN (FT/PT)</v>
      </c>
      <c r="L27" s="33" t="s">
        <v>91</v>
      </c>
      <c r="M27" s="33">
        <f t="shared" ref="M27:X27" si="9">M9*1.03</f>
        <v>46.59308</v>
      </c>
      <c r="N27" s="33">
        <f t="shared" si="9"/>
        <v>50.320650000000001</v>
      </c>
      <c r="O27" s="33">
        <f t="shared" si="9"/>
        <v>52.835909999999998</v>
      </c>
      <c r="P27" s="33">
        <f t="shared" si="9"/>
        <v>55.47889</v>
      </c>
      <c r="Q27" s="33">
        <f t="shared" si="9"/>
        <v>57.698540000000001</v>
      </c>
      <c r="R27" s="33">
        <f t="shared" si="9"/>
        <v>60.004710000000003</v>
      </c>
      <c r="S27" s="33">
        <f t="shared" si="9"/>
        <v>62.104880000000001</v>
      </c>
      <c r="T27" s="33">
        <f t="shared" si="9"/>
        <v>64.123680000000007</v>
      </c>
      <c r="U27" s="33">
        <f t="shared" si="9"/>
        <v>66.208399999999997</v>
      </c>
      <c r="V27" s="33">
        <f t="shared" si="9"/>
        <v>67.92953</v>
      </c>
      <c r="W27" s="33">
        <f t="shared" si="9"/>
        <v>69.628</v>
      </c>
      <c r="X27" s="33">
        <f t="shared" si="9"/>
        <v>71.367670000000004</v>
      </c>
      <c r="AH27" t="str">
        <f>B4&amp;$C$6</f>
        <v>Level IIPD</v>
      </c>
      <c r="AI27">
        <v>8</v>
      </c>
    </row>
    <row r="28" spans="6:35" x14ac:dyDescent="0.25">
      <c r="F28">
        <v>25</v>
      </c>
      <c r="J28" s="5">
        <v>6</v>
      </c>
      <c r="K28" s="5" t="str">
        <f t="shared" si="4"/>
        <v>SR. PHN (FT/PT)</v>
      </c>
      <c r="L28" s="33" t="s">
        <v>91</v>
      </c>
      <c r="M28" s="33">
        <f t="shared" ref="M28:X28" si="10">M10*1.03</f>
        <v>48.921910000000004</v>
      </c>
      <c r="N28" s="33">
        <f t="shared" si="10"/>
        <v>52.835909999999998</v>
      </c>
      <c r="O28" s="33">
        <f t="shared" si="10"/>
        <v>55.47889</v>
      </c>
      <c r="P28" s="33">
        <f t="shared" si="10"/>
        <v>58.251649999999998</v>
      </c>
      <c r="Q28" s="33">
        <f t="shared" si="10"/>
        <v>60.581510000000002</v>
      </c>
      <c r="R28" s="33">
        <f t="shared" si="10"/>
        <v>63.006129999999999</v>
      </c>
      <c r="S28" s="33">
        <f t="shared" si="10"/>
        <v>65.210329999999999</v>
      </c>
      <c r="T28" s="33">
        <f t="shared" si="10"/>
        <v>67.331100000000006</v>
      </c>
      <c r="U28" s="33">
        <f t="shared" si="10"/>
        <v>69.519850000000005</v>
      </c>
      <c r="V28" s="33">
        <f t="shared" si="10"/>
        <v>71.32544</v>
      </c>
      <c r="W28" s="33">
        <f t="shared" si="10"/>
        <v>73.109400000000008</v>
      </c>
      <c r="X28" s="33">
        <f t="shared" si="10"/>
        <v>74.936620000000005</v>
      </c>
      <c r="Z28" s="37"/>
      <c r="AB28" s="76"/>
      <c r="AH28" t="str">
        <f t="shared" ref="AH28:AH32" si="11">B5&amp;$C$6</f>
        <v>Level IIIPD</v>
      </c>
      <c r="AI28">
        <v>9</v>
      </c>
    </row>
    <row r="29" spans="6:35" x14ac:dyDescent="0.25">
      <c r="F29">
        <v>26</v>
      </c>
      <c r="J29" s="5">
        <v>7</v>
      </c>
      <c r="K29" s="5" t="str">
        <f t="shared" si="4"/>
        <v>Level II (PD)</v>
      </c>
      <c r="L29" s="33">
        <f>L11*1.03</f>
        <v>49.001219999999996</v>
      </c>
      <c r="M29" s="33">
        <f t="shared" ref="M29:X29" si="12">M11*1.03</f>
        <v>51.940840000000001</v>
      </c>
      <c r="N29" s="33">
        <f t="shared" si="12"/>
        <v>56.096890000000002</v>
      </c>
      <c r="O29" s="33">
        <f t="shared" si="12"/>
        <v>58.901580000000003</v>
      </c>
      <c r="P29" s="33">
        <f t="shared" si="12"/>
        <v>61.847380000000001</v>
      </c>
      <c r="Q29" s="33">
        <f t="shared" si="12"/>
        <v>64.321439999999996</v>
      </c>
      <c r="R29" s="33">
        <f t="shared" si="12"/>
        <v>66.892319999999998</v>
      </c>
      <c r="S29" s="33">
        <f t="shared" si="12"/>
        <v>69.233509999999995</v>
      </c>
      <c r="T29" s="33">
        <f t="shared" si="12"/>
        <v>71.485090000000014</v>
      </c>
      <c r="U29" s="33">
        <f t="shared" si="12"/>
        <v>73.80774000000001</v>
      </c>
      <c r="V29" s="33">
        <f t="shared" si="12"/>
        <v>75.7256</v>
      </c>
      <c r="W29" s="33">
        <f t="shared" si="12"/>
        <v>77.619770000000003</v>
      </c>
      <c r="X29" s="33">
        <f t="shared" si="12"/>
        <v>79.560289999999995</v>
      </c>
      <c r="AH29" t="str">
        <f t="shared" si="11"/>
        <v>Level IVPD</v>
      </c>
      <c r="AI29">
        <v>10</v>
      </c>
    </row>
    <row r="30" spans="6:35" x14ac:dyDescent="0.25">
      <c r="F30">
        <v>27</v>
      </c>
      <c r="J30" s="5">
        <v>8</v>
      </c>
      <c r="K30" s="5" t="str">
        <f t="shared" si="4"/>
        <v>Level III (PD)</v>
      </c>
      <c r="L30" s="33">
        <f>L12*1.03</f>
        <v>50.964399999999998</v>
      </c>
      <c r="M30" s="33">
        <f t="shared" ref="M30:X30" si="13">M12*1.03</f>
        <v>54.021439999999998</v>
      </c>
      <c r="N30" s="33">
        <f t="shared" si="13"/>
        <v>58.343319999999999</v>
      </c>
      <c r="O30" s="33">
        <f t="shared" si="13"/>
        <v>61.261310000000002</v>
      </c>
      <c r="P30" s="33">
        <f t="shared" si="13"/>
        <v>64.322469999999996</v>
      </c>
      <c r="Q30" s="33">
        <f t="shared" si="13"/>
        <v>66.894379999999998</v>
      </c>
      <c r="R30" s="33">
        <f t="shared" si="13"/>
        <v>69.570319999999995</v>
      </c>
      <c r="S30" s="33">
        <f t="shared" si="13"/>
        <v>72.005240000000001</v>
      </c>
      <c r="T30" s="33">
        <f t="shared" si="13"/>
        <v>74.345400000000012</v>
      </c>
      <c r="U30" s="33">
        <f t="shared" si="13"/>
        <v>76.762810000000002</v>
      </c>
      <c r="V30" s="33">
        <f t="shared" si="13"/>
        <v>78.758949999999999</v>
      </c>
      <c r="W30" s="33">
        <f t="shared" si="13"/>
        <v>80.727280000000007</v>
      </c>
      <c r="X30" s="33">
        <f t="shared" si="13"/>
        <v>82.746080000000006</v>
      </c>
      <c r="Z30" s="77" t="s">
        <v>173</v>
      </c>
      <c r="AA30" s="76"/>
      <c r="AH30" t="str">
        <f t="shared" si="11"/>
        <v>Level VPD</v>
      </c>
      <c r="AI30">
        <v>11</v>
      </c>
    </row>
    <row r="31" spans="6:35" x14ac:dyDescent="0.25">
      <c r="F31">
        <v>28</v>
      </c>
      <c r="J31" s="5">
        <v>9</v>
      </c>
      <c r="K31" s="5" t="str">
        <f t="shared" si="4"/>
        <v>Level IV (PD)</v>
      </c>
      <c r="L31" s="33" t="s">
        <v>91</v>
      </c>
      <c r="M31" s="33">
        <f t="shared" ref="M31:X31" si="14">M13*1.03</f>
        <v>54.538500000000006</v>
      </c>
      <c r="N31" s="33">
        <f t="shared" si="14"/>
        <v>58.901580000000003</v>
      </c>
      <c r="O31" s="33">
        <f t="shared" si="14"/>
        <v>61.847380000000001</v>
      </c>
      <c r="P31" s="33">
        <f t="shared" si="14"/>
        <v>64.938410000000005</v>
      </c>
      <c r="Q31" s="33">
        <f t="shared" si="14"/>
        <v>67.535039999999995</v>
      </c>
      <c r="R31" s="33">
        <f t="shared" si="14"/>
        <v>70.237759999999994</v>
      </c>
      <c r="S31" s="33">
        <f t="shared" si="14"/>
        <v>72.695340000000002</v>
      </c>
      <c r="T31" s="33">
        <f t="shared" si="14"/>
        <v>75.058160000000001</v>
      </c>
      <c r="U31" s="33">
        <f t="shared" si="14"/>
        <v>77.497199999999992</v>
      </c>
      <c r="V31" s="33">
        <f t="shared" si="14"/>
        <v>79.512910000000005</v>
      </c>
      <c r="W31" s="33">
        <f t="shared" si="14"/>
        <v>81.501840000000001</v>
      </c>
      <c r="X31" s="33">
        <f t="shared" si="14"/>
        <v>83.540210000000002</v>
      </c>
      <c r="Z31" s="33">
        <f>IF(AND('UNAC-UHCP'!C9="Yes",OR('UNAC-UHCP'!C7="Inexpd.",'UNAC-UHCP'!C7="Start")),1600,IF(AND('UNAC-UHCP'!C9="Yes",'UNAC-UHCP'!C7="1 Yr."),800,0))</f>
        <v>0</v>
      </c>
      <c r="AH31" t="str">
        <f t="shared" si="11"/>
        <v>PHNPD</v>
      </c>
      <c r="AI31">
        <v>12</v>
      </c>
    </row>
    <row r="32" spans="6:35" x14ac:dyDescent="0.25">
      <c r="F32">
        <v>29</v>
      </c>
      <c r="J32" s="5">
        <v>10</v>
      </c>
      <c r="K32" s="5" t="str">
        <f t="shared" si="4"/>
        <v>Level V (PD)</v>
      </c>
      <c r="L32" s="33" t="s">
        <v>91</v>
      </c>
      <c r="M32" s="33">
        <f t="shared" ref="M32:X32" si="15">M14*1.03</f>
        <v>55.911490000000001</v>
      </c>
      <c r="N32" s="33">
        <f t="shared" si="15"/>
        <v>60.384779999999999</v>
      </c>
      <c r="O32" s="33">
        <f t="shared" si="15"/>
        <v>63.402679999999997</v>
      </c>
      <c r="P32" s="33">
        <f t="shared" si="15"/>
        <v>66.57508</v>
      </c>
      <c r="Q32" s="33">
        <f t="shared" si="15"/>
        <v>69.238659999999996</v>
      </c>
      <c r="R32" s="33">
        <f t="shared" si="15"/>
        <v>72.005240000000001</v>
      </c>
      <c r="S32" s="33">
        <f t="shared" si="15"/>
        <v>74.525650000000013</v>
      </c>
      <c r="T32" s="33">
        <f t="shared" si="15"/>
        <v>76.947180000000003</v>
      </c>
      <c r="U32" s="33">
        <f t="shared" si="15"/>
        <v>79.45008</v>
      </c>
      <c r="V32" s="33">
        <f t="shared" si="15"/>
        <v>81.515230000000003</v>
      </c>
      <c r="W32" s="33">
        <f t="shared" si="15"/>
        <v>83.553600000000003</v>
      </c>
      <c r="X32" s="33">
        <f t="shared" si="15"/>
        <v>85.641410000000008</v>
      </c>
      <c r="AH32" t="str">
        <f t="shared" si="11"/>
        <v>Sr. PHNPD</v>
      </c>
      <c r="AI32">
        <v>13</v>
      </c>
    </row>
    <row r="33" spans="6:24" x14ac:dyDescent="0.25">
      <c r="F33">
        <v>30</v>
      </c>
      <c r="J33" s="5">
        <v>11</v>
      </c>
      <c r="K33" s="5" t="str">
        <f t="shared" si="4"/>
        <v>PHN (PD)</v>
      </c>
      <c r="L33" s="33" t="s">
        <v>91</v>
      </c>
      <c r="M33" s="33">
        <f t="shared" ref="M33:X33" si="16">M15*1.03</f>
        <v>55.911490000000001</v>
      </c>
      <c r="N33" s="33">
        <f t="shared" si="16"/>
        <v>60.384779999999999</v>
      </c>
      <c r="O33" s="33">
        <f t="shared" si="16"/>
        <v>63.402679999999997</v>
      </c>
      <c r="P33" s="33">
        <f t="shared" si="16"/>
        <v>66.57508</v>
      </c>
      <c r="Q33" s="33">
        <f t="shared" si="16"/>
        <v>69.238659999999996</v>
      </c>
      <c r="R33" s="33">
        <f t="shared" si="16"/>
        <v>72.005240000000001</v>
      </c>
      <c r="S33" s="33">
        <f t="shared" si="16"/>
        <v>74.525650000000013</v>
      </c>
      <c r="T33" s="33">
        <f t="shared" si="16"/>
        <v>76.948209999999989</v>
      </c>
      <c r="U33" s="33">
        <f t="shared" si="16"/>
        <v>79.45008</v>
      </c>
      <c r="V33" s="33">
        <f t="shared" si="16"/>
        <v>81.515230000000003</v>
      </c>
      <c r="W33" s="33">
        <f t="shared" si="16"/>
        <v>83.553600000000003</v>
      </c>
      <c r="X33" s="33">
        <f t="shared" si="16"/>
        <v>85.641410000000008</v>
      </c>
    </row>
    <row r="34" spans="6:24" x14ac:dyDescent="0.25">
      <c r="F34">
        <v>31</v>
      </c>
      <c r="J34" s="5">
        <v>12</v>
      </c>
      <c r="K34" s="5" t="str">
        <f t="shared" si="4"/>
        <v>SR. PHN (PD)</v>
      </c>
      <c r="L34" s="33" t="s">
        <v>91</v>
      </c>
      <c r="M34" s="33">
        <f t="shared" ref="M34:X34" si="17">M16*1.03</f>
        <v>58.705880000000001</v>
      </c>
      <c r="N34" s="33">
        <f t="shared" si="17"/>
        <v>63.402679999999997</v>
      </c>
      <c r="O34" s="33">
        <f t="shared" si="17"/>
        <v>66.57508</v>
      </c>
      <c r="P34" s="33">
        <f t="shared" si="17"/>
        <v>69.901979999999995</v>
      </c>
      <c r="Q34" s="33">
        <f t="shared" si="17"/>
        <v>72.697400000000002</v>
      </c>
      <c r="R34" s="33">
        <f t="shared" si="17"/>
        <v>75.607150000000004</v>
      </c>
      <c r="S34" s="33">
        <f t="shared" si="17"/>
        <v>78.252189999999999</v>
      </c>
      <c r="T34" s="33">
        <f t="shared" si="17"/>
        <v>80.797319999999999</v>
      </c>
      <c r="U34" s="33">
        <f t="shared" si="17"/>
        <v>83.423820000000006</v>
      </c>
      <c r="V34" s="33">
        <f t="shared" si="17"/>
        <v>85.590940000000003</v>
      </c>
      <c r="W34" s="33">
        <f t="shared" si="17"/>
        <v>87.731279999999998</v>
      </c>
      <c r="X34" s="33">
        <f t="shared" si="17"/>
        <v>89.924150000000012</v>
      </c>
    </row>
    <row r="35" spans="6:24" x14ac:dyDescent="0.25">
      <c r="J35" s="5">
        <v>13</v>
      </c>
      <c r="K35" s="5" t="str">
        <f t="shared" si="4"/>
        <v xml:space="preserve"> </v>
      </c>
      <c r="L35" s="5" t="s">
        <v>109</v>
      </c>
      <c r="M35" s="5" t="s">
        <v>109</v>
      </c>
      <c r="N35" s="5" t="s">
        <v>109</v>
      </c>
      <c r="O35" s="5" t="s">
        <v>109</v>
      </c>
      <c r="P35" s="5" t="s">
        <v>109</v>
      </c>
      <c r="Q35" s="5" t="s">
        <v>109</v>
      </c>
      <c r="R35" s="5" t="s">
        <v>109</v>
      </c>
      <c r="S35" s="5" t="s">
        <v>109</v>
      </c>
      <c r="T35" s="5" t="s">
        <v>109</v>
      </c>
      <c r="U35" s="5" t="s">
        <v>109</v>
      </c>
      <c r="V35" s="5" t="s">
        <v>109</v>
      </c>
      <c r="W35" s="5" t="s">
        <v>109</v>
      </c>
      <c r="X35" s="5" t="s">
        <v>109</v>
      </c>
    </row>
    <row r="36" spans="6:24" x14ac:dyDescent="0.25">
      <c r="J36" s="5">
        <v>14</v>
      </c>
      <c r="K36" s="5"/>
      <c r="L36" s="31" t="s">
        <v>91</v>
      </c>
      <c r="M36" s="31" t="s">
        <v>91</v>
      </c>
      <c r="N36" s="31" t="s">
        <v>91</v>
      </c>
      <c r="O36" s="31" t="s">
        <v>91</v>
      </c>
      <c r="P36" s="31" t="s">
        <v>91</v>
      </c>
      <c r="Q36" s="31" t="s">
        <v>91</v>
      </c>
      <c r="R36" s="31" t="s">
        <v>91</v>
      </c>
      <c r="S36" s="31" t="s">
        <v>91</v>
      </c>
      <c r="T36" s="31" t="s">
        <v>91</v>
      </c>
      <c r="U36" s="31" t="s">
        <v>91</v>
      </c>
      <c r="V36" s="31" t="s">
        <v>91</v>
      </c>
      <c r="W36" s="31" t="s">
        <v>91</v>
      </c>
      <c r="X36" s="31" t="s">
        <v>91</v>
      </c>
    </row>
    <row r="38" spans="6:24" x14ac:dyDescent="0.25">
      <c r="J38" s="138" t="s">
        <v>113</v>
      </c>
      <c r="K38" s="137"/>
      <c r="L38" s="137"/>
      <c r="M38" s="137"/>
      <c r="N38" s="137"/>
      <c r="O38" s="137"/>
      <c r="P38" s="137"/>
      <c r="Q38" s="137"/>
      <c r="R38" s="137"/>
      <c r="S38" s="137"/>
      <c r="T38" s="137"/>
      <c r="U38" s="137"/>
      <c r="V38" s="137"/>
      <c r="W38" s="137"/>
      <c r="X38" s="137"/>
    </row>
    <row r="39" spans="6:24" ht="18.75" x14ac:dyDescent="0.25">
      <c r="J39" s="34"/>
      <c r="K39" s="5"/>
      <c r="L39" s="29">
        <v>-800</v>
      </c>
      <c r="M39" s="29">
        <v>0</v>
      </c>
      <c r="N39" s="29">
        <v>1600</v>
      </c>
      <c r="O39" s="29">
        <f>N39*2</f>
        <v>3200</v>
      </c>
      <c r="P39" s="29">
        <f>N39*3</f>
        <v>4800</v>
      </c>
      <c r="Q39" s="29">
        <f>N39*4</f>
        <v>6400</v>
      </c>
      <c r="R39" s="29">
        <f>N39*5</f>
        <v>8000</v>
      </c>
      <c r="S39" s="29">
        <f>N39*6</f>
        <v>9600</v>
      </c>
      <c r="T39" s="29">
        <f>N39*8</f>
        <v>12800</v>
      </c>
      <c r="U39" s="29">
        <f>N39*10</f>
        <v>16000</v>
      </c>
      <c r="V39" s="29">
        <f>N39*15</f>
        <v>24000</v>
      </c>
      <c r="W39" s="29">
        <f>N39*20</f>
        <v>32000</v>
      </c>
      <c r="X39" s="29">
        <f>N39*25</f>
        <v>40000</v>
      </c>
    </row>
    <row r="40" spans="6:24" x14ac:dyDescent="0.25">
      <c r="K40" s="5"/>
      <c r="L40" s="29" t="s">
        <v>89</v>
      </c>
      <c r="M40" s="29" t="s">
        <v>67</v>
      </c>
      <c r="N40" s="29" t="s">
        <v>68</v>
      </c>
      <c r="O40" s="29" t="s">
        <v>69</v>
      </c>
      <c r="P40" s="29" t="s">
        <v>70</v>
      </c>
      <c r="Q40" s="29" t="s">
        <v>71</v>
      </c>
      <c r="R40" s="29" t="s">
        <v>72</v>
      </c>
      <c r="S40" s="29" t="s">
        <v>73</v>
      </c>
      <c r="T40" s="29" t="s">
        <v>74</v>
      </c>
      <c r="U40" s="29" t="s">
        <v>75</v>
      </c>
      <c r="V40" s="29" t="s">
        <v>76</v>
      </c>
      <c r="W40" s="29" t="s">
        <v>77</v>
      </c>
      <c r="X40" s="29" t="s">
        <v>78</v>
      </c>
    </row>
    <row r="41" spans="6:24" x14ac:dyDescent="0.25">
      <c r="J41" s="5">
        <v>1</v>
      </c>
      <c r="K41" s="5" t="str">
        <f t="shared" ref="K41:K53" si="18">K23</f>
        <v>Level II (FT/PT)</v>
      </c>
      <c r="L41" s="33">
        <f t="shared" ref="L41:X41" si="19">L23*1.03</f>
        <v>42.05938050000001</v>
      </c>
      <c r="M41" s="33">
        <f t="shared" si="19"/>
        <v>44.582200700000008</v>
      </c>
      <c r="N41" s="33">
        <f t="shared" si="19"/>
        <v>48.150007400000007</v>
      </c>
      <c r="O41" s="33">
        <f t="shared" si="19"/>
        <v>50.557189500000007</v>
      </c>
      <c r="P41" s="33">
        <f t="shared" si="19"/>
        <v>53.085314199999999</v>
      </c>
      <c r="Q41" s="33">
        <f t="shared" si="19"/>
        <v>55.209235999999997</v>
      </c>
      <c r="R41" s="33">
        <f t="shared" si="19"/>
        <v>57.415908000000002</v>
      </c>
      <c r="S41" s="33">
        <f t="shared" si="19"/>
        <v>59.425252600000007</v>
      </c>
      <c r="T41" s="33">
        <f t="shared" si="19"/>
        <v>61.358212400000006</v>
      </c>
      <c r="U41" s="33">
        <f t="shared" si="19"/>
        <v>63.351643500000009</v>
      </c>
      <c r="V41" s="33">
        <f t="shared" si="19"/>
        <v>64.998160300000009</v>
      </c>
      <c r="W41" s="33">
        <f t="shared" si="19"/>
        <v>66.623459100000005</v>
      </c>
      <c r="X41" s="33">
        <f t="shared" si="19"/>
        <v>68.289072100000013</v>
      </c>
    </row>
    <row r="42" spans="6:24" x14ac:dyDescent="0.25">
      <c r="J42" s="5">
        <v>2</v>
      </c>
      <c r="K42" s="5" t="str">
        <f t="shared" si="18"/>
        <v>Level III (FT/PT)</v>
      </c>
      <c r="L42" s="33">
        <f t="shared" ref="L42:X42" si="20">L24*1.03</f>
        <v>43.744089699999996</v>
      </c>
      <c r="M42" s="33">
        <f t="shared" si="20"/>
        <v>46.368756300000001</v>
      </c>
      <c r="N42" s="33">
        <f t="shared" si="20"/>
        <v>50.077662700000012</v>
      </c>
      <c r="O42" s="33">
        <f t="shared" si="20"/>
        <v>52.582447600000002</v>
      </c>
      <c r="P42" s="33">
        <f t="shared" si="20"/>
        <v>55.210296900000003</v>
      </c>
      <c r="Q42" s="33">
        <f t="shared" si="20"/>
        <v>57.418029799999999</v>
      </c>
      <c r="R42" s="33">
        <f t="shared" si="20"/>
        <v>59.714878300000002</v>
      </c>
      <c r="S42" s="33">
        <f t="shared" si="20"/>
        <v>61.804851300000003</v>
      </c>
      <c r="T42" s="33">
        <f t="shared" si="20"/>
        <v>63.813135000000003</v>
      </c>
      <c r="U42" s="33">
        <f t="shared" si="20"/>
        <v>65.888255400000006</v>
      </c>
      <c r="V42" s="33">
        <f t="shared" si="20"/>
        <v>67.601608899999988</v>
      </c>
      <c r="W42" s="33">
        <f t="shared" si="20"/>
        <v>69.290561699999998</v>
      </c>
      <c r="X42" s="33">
        <f t="shared" si="20"/>
        <v>71.0240723</v>
      </c>
    </row>
    <row r="43" spans="6:24" x14ac:dyDescent="0.25">
      <c r="J43" s="5">
        <v>3</v>
      </c>
      <c r="K43" s="5" t="str">
        <f t="shared" si="18"/>
        <v>Level IV (FT/PT)</v>
      </c>
      <c r="L43" s="33" t="s">
        <v>91</v>
      </c>
      <c r="M43" s="33">
        <f t="shared" ref="M43:X43" si="21">M25*1.03</f>
        <v>46.812212500000008</v>
      </c>
      <c r="N43" s="33">
        <f t="shared" si="21"/>
        <v>50.557189500000007</v>
      </c>
      <c r="O43" s="33">
        <f t="shared" si="21"/>
        <v>53.085314199999999</v>
      </c>
      <c r="P43" s="33">
        <f t="shared" si="21"/>
        <v>55.738625100000007</v>
      </c>
      <c r="Q43" s="33">
        <f t="shared" si="21"/>
        <v>57.967576000000001</v>
      </c>
      <c r="R43" s="33">
        <f t="shared" si="21"/>
        <v>60.287764299999999</v>
      </c>
      <c r="S43" s="33">
        <f t="shared" si="21"/>
        <v>62.3968335</v>
      </c>
      <c r="T43" s="33">
        <f t="shared" si="21"/>
        <v>64.425274299999998</v>
      </c>
      <c r="U43" s="33">
        <f t="shared" si="21"/>
        <v>66.518430000000009</v>
      </c>
      <c r="V43" s="33">
        <f t="shared" si="21"/>
        <v>68.248757900000001</v>
      </c>
      <c r="W43" s="33">
        <f t="shared" si="21"/>
        <v>69.955746000000005</v>
      </c>
      <c r="X43" s="33">
        <f t="shared" si="21"/>
        <v>71.705170100000004</v>
      </c>
    </row>
    <row r="44" spans="6:24" x14ac:dyDescent="0.25">
      <c r="J44" s="5">
        <v>4</v>
      </c>
      <c r="K44" s="5" t="str">
        <f t="shared" si="18"/>
        <v>Level V (FT/PT)</v>
      </c>
      <c r="L44" s="33" t="s">
        <v>91</v>
      </c>
      <c r="M44" s="33">
        <f t="shared" ref="M44:X44" si="22">M26*1.03</f>
        <v>47.990872400000001</v>
      </c>
      <c r="N44" s="33">
        <f t="shared" si="22"/>
        <v>51.8302695</v>
      </c>
      <c r="O44" s="33">
        <f t="shared" si="22"/>
        <v>54.4209873</v>
      </c>
      <c r="P44" s="33">
        <f t="shared" si="22"/>
        <v>57.143256700000002</v>
      </c>
      <c r="Q44" s="33">
        <f t="shared" si="22"/>
        <v>59.429496200000003</v>
      </c>
      <c r="R44" s="33">
        <f t="shared" si="22"/>
        <v>61.804851300000003</v>
      </c>
      <c r="S44" s="33">
        <f t="shared" si="22"/>
        <v>63.968026400000007</v>
      </c>
      <c r="T44" s="33">
        <f t="shared" si="22"/>
        <v>66.046329500000013</v>
      </c>
      <c r="U44" s="33">
        <f t="shared" si="22"/>
        <v>68.194652000000005</v>
      </c>
      <c r="V44" s="33">
        <f t="shared" si="22"/>
        <v>69.967415900000006</v>
      </c>
      <c r="W44" s="33">
        <f t="shared" si="22"/>
        <v>71.716840000000005</v>
      </c>
      <c r="X44" s="33">
        <f t="shared" si="22"/>
        <v>73.508700100000013</v>
      </c>
    </row>
    <row r="45" spans="6:24" x14ac:dyDescent="0.25">
      <c r="J45" s="5">
        <v>5</v>
      </c>
      <c r="K45" s="5" t="str">
        <f t="shared" si="18"/>
        <v>PHN (FT/PT)</v>
      </c>
      <c r="L45" s="33" t="s">
        <v>91</v>
      </c>
      <c r="M45" s="33">
        <f t="shared" ref="M45:X45" si="23">M27*1.03</f>
        <v>47.990872400000001</v>
      </c>
      <c r="N45" s="33">
        <f t="shared" si="23"/>
        <v>51.8302695</v>
      </c>
      <c r="O45" s="33">
        <f t="shared" si="23"/>
        <v>54.4209873</v>
      </c>
      <c r="P45" s="33">
        <f t="shared" si="23"/>
        <v>57.143256700000002</v>
      </c>
      <c r="Q45" s="33">
        <f t="shared" si="23"/>
        <v>59.429496200000003</v>
      </c>
      <c r="R45" s="33">
        <f t="shared" si="23"/>
        <v>61.804851300000003</v>
      </c>
      <c r="S45" s="33">
        <f t="shared" si="23"/>
        <v>63.968026400000007</v>
      </c>
      <c r="T45" s="33">
        <f t="shared" si="23"/>
        <v>66.047390400000012</v>
      </c>
      <c r="U45" s="33">
        <f t="shared" si="23"/>
        <v>68.194652000000005</v>
      </c>
      <c r="V45" s="33">
        <f t="shared" si="23"/>
        <v>69.967415900000006</v>
      </c>
      <c r="W45" s="33">
        <f t="shared" si="23"/>
        <v>71.716840000000005</v>
      </c>
      <c r="X45" s="33">
        <f t="shared" si="23"/>
        <v>73.508700100000013</v>
      </c>
    </row>
    <row r="46" spans="6:24" x14ac:dyDescent="0.25">
      <c r="J46" s="5">
        <v>6</v>
      </c>
      <c r="K46" s="5" t="str">
        <f t="shared" si="18"/>
        <v>SR. PHN (FT/PT)</v>
      </c>
      <c r="L46" s="33" t="s">
        <v>91</v>
      </c>
      <c r="M46" s="33">
        <f t="shared" ref="M46:X46" si="24">M28*1.03</f>
        <v>50.389567300000003</v>
      </c>
      <c r="N46" s="33">
        <f t="shared" si="24"/>
        <v>54.4209873</v>
      </c>
      <c r="O46" s="33">
        <f t="shared" si="24"/>
        <v>57.143256700000002</v>
      </c>
      <c r="P46" s="33">
        <f t="shared" si="24"/>
        <v>59.999199499999996</v>
      </c>
      <c r="Q46" s="33">
        <f t="shared" si="24"/>
        <v>62.398955300000004</v>
      </c>
      <c r="R46" s="33">
        <f t="shared" si="24"/>
        <v>64.896313899999996</v>
      </c>
      <c r="S46" s="33">
        <f t="shared" si="24"/>
        <v>67.166639900000007</v>
      </c>
      <c r="T46" s="33">
        <f t="shared" si="24"/>
        <v>69.351033000000015</v>
      </c>
      <c r="U46" s="33">
        <f t="shared" si="24"/>
        <v>71.605445500000002</v>
      </c>
      <c r="V46" s="33">
        <f t="shared" si="24"/>
        <v>73.465203200000005</v>
      </c>
      <c r="W46" s="33">
        <f t="shared" si="24"/>
        <v>75.302682000000004</v>
      </c>
      <c r="X46" s="33">
        <f t="shared" si="24"/>
        <v>77.184718600000011</v>
      </c>
    </row>
    <row r="47" spans="6:24" x14ac:dyDescent="0.25">
      <c r="J47" s="5">
        <v>7</v>
      </c>
      <c r="K47" s="5" t="str">
        <f t="shared" si="18"/>
        <v>Level II (PD)</v>
      </c>
      <c r="L47" s="33">
        <f>L29*1.03</f>
        <v>50.471256599999997</v>
      </c>
      <c r="M47" s="33">
        <f t="shared" ref="M47:X47" si="25">M29*1.03</f>
        <v>53.499065200000004</v>
      </c>
      <c r="N47" s="33">
        <f t="shared" si="25"/>
        <v>57.779796700000006</v>
      </c>
      <c r="O47" s="33">
        <f t="shared" si="25"/>
        <v>60.668627400000005</v>
      </c>
      <c r="P47" s="33">
        <f t="shared" si="25"/>
        <v>63.702801400000006</v>
      </c>
      <c r="Q47" s="33">
        <f t="shared" si="25"/>
        <v>66.251083199999997</v>
      </c>
      <c r="R47" s="33">
        <f t="shared" si="25"/>
        <v>68.899089599999996</v>
      </c>
      <c r="S47" s="33">
        <f t="shared" si="25"/>
        <v>71.310515299999992</v>
      </c>
      <c r="T47" s="33">
        <f t="shared" si="25"/>
        <v>73.629642700000019</v>
      </c>
      <c r="U47" s="33">
        <f t="shared" si="25"/>
        <v>76.021972200000008</v>
      </c>
      <c r="V47" s="33">
        <f t="shared" si="25"/>
        <v>77.997368000000009</v>
      </c>
      <c r="W47" s="33">
        <f t="shared" si="25"/>
        <v>79.948363100000009</v>
      </c>
      <c r="X47" s="33">
        <f t="shared" si="25"/>
        <v>81.947098699999998</v>
      </c>
    </row>
    <row r="48" spans="6:24" x14ac:dyDescent="0.25">
      <c r="J48" s="5">
        <v>8</v>
      </c>
      <c r="K48" s="5" t="str">
        <f t="shared" si="18"/>
        <v>Level III (PD)</v>
      </c>
      <c r="L48" s="33">
        <f>L30*1.03</f>
        <v>52.493332000000002</v>
      </c>
      <c r="M48" s="33">
        <f t="shared" ref="M48:X48" si="26">M30*1.03</f>
        <v>55.642083200000002</v>
      </c>
      <c r="N48" s="33">
        <f t="shared" si="26"/>
        <v>60.093619599999997</v>
      </c>
      <c r="O48" s="33">
        <f t="shared" si="26"/>
        <v>63.099149300000001</v>
      </c>
      <c r="P48" s="33">
        <f t="shared" si="26"/>
        <v>66.252144099999995</v>
      </c>
      <c r="Q48" s="33">
        <f t="shared" si="26"/>
        <v>68.901211399999994</v>
      </c>
      <c r="R48" s="33">
        <f t="shared" si="26"/>
        <v>71.6574296</v>
      </c>
      <c r="S48" s="33">
        <f t="shared" si="26"/>
        <v>74.165397200000001</v>
      </c>
      <c r="T48" s="33">
        <f t="shared" si="26"/>
        <v>76.575762000000012</v>
      </c>
      <c r="U48" s="33">
        <f t="shared" si="26"/>
        <v>79.065694300000004</v>
      </c>
      <c r="V48" s="33">
        <f t="shared" si="26"/>
        <v>81.1217185</v>
      </c>
      <c r="W48" s="33">
        <f t="shared" si="26"/>
        <v>83.149098400000014</v>
      </c>
      <c r="X48" s="33">
        <f t="shared" si="26"/>
        <v>85.228462400000012</v>
      </c>
    </row>
    <row r="49" spans="10:39" x14ac:dyDescent="0.25">
      <c r="J49" s="5">
        <v>9</v>
      </c>
      <c r="K49" s="5" t="str">
        <f t="shared" si="18"/>
        <v>Level IV (PD)</v>
      </c>
      <c r="L49" s="33" t="s">
        <v>91</v>
      </c>
      <c r="M49" s="33">
        <f t="shared" ref="M49:X49" si="27">M31*1.03</f>
        <v>56.174655000000008</v>
      </c>
      <c r="N49" s="33">
        <f t="shared" si="27"/>
        <v>60.668627400000005</v>
      </c>
      <c r="O49" s="33">
        <f t="shared" si="27"/>
        <v>63.702801400000006</v>
      </c>
      <c r="P49" s="33">
        <f t="shared" si="27"/>
        <v>66.886562300000008</v>
      </c>
      <c r="Q49" s="33">
        <f t="shared" si="27"/>
        <v>69.561091199999993</v>
      </c>
      <c r="R49" s="33">
        <f t="shared" si="27"/>
        <v>72.344892799999997</v>
      </c>
      <c r="S49" s="33">
        <f t="shared" si="27"/>
        <v>74.8762002</v>
      </c>
      <c r="T49" s="33">
        <f t="shared" si="27"/>
        <v>77.309904799999998</v>
      </c>
      <c r="U49" s="33">
        <f t="shared" si="27"/>
        <v>79.822115999999994</v>
      </c>
      <c r="V49" s="33">
        <f t="shared" si="27"/>
        <v>81.89829730000001</v>
      </c>
      <c r="W49" s="33">
        <f t="shared" si="27"/>
        <v>83.9468952</v>
      </c>
      <c r="X49" s="33">
        <f t="shared" si="27"/>
        <v>86.046416300000004</v>
      </c>
    </row>
    <row r="50" spans="10:39" x14ac:dyDescent="0.25">
      <c r="J50" s="5">
        <v>10</v>
      </c>
      <c r="K50" s="5" t="str">
        <f t="shared" si="18"/>
        <v>Level V (PD)</v>
      </c>
      <c r="L50" s="33" t="s">
        <v>91</v>
      </c>
      <c r="M50" s="33">
        <f t="shared" ref="M50:X50" si="28">M32*1.03</f>
        <v>57.5888347</v>
      </c>
      <c r="N50" s="33">
        <f t="shared" si="28"/>
        <v>62.196323400000004</v>
      </c>
      <c r="O50" s="33">
        <f t="shared" si="28"/>
        <v>65.304760399999992</v>
      </c>
      <c r="P50" s="33">
        <f t="shared" si="28"/>
        <v>68.572332400000008</v>
      </c>
      <c r="Q50" s="33">
        <f t="shared" si="28"/>
        <v>71.3158198</v>
      </c>
      <c r="R50" s="33">
        <f t="shared" si="28"/>
        <v>74.165397200000001</v>
      </c>
      <c r="S50" s="33">
        <f t="shared" si="28"/>
        <v>76.761419500000017</v>
      </c>
      <c r="T50" s="33">
        <f t="shared" si="28"/>
        <v>79.255595400000004</v>
      </c>
      <c r="U50" s="33">
        <f t="shared" si="28"/>
        <v>81.833582399999997</v>
      </c>
      <c r="V50" s="33">
        <f t="shared" si="28"/>
        <v>83.960686899999999</v>
      </c>
      <c r="W50" s="33">
        <f t="shared" si="28"/>
        <v>86.060208000000003</v>
      </c>
      <c r="X50" s="33">
        <f t="shared" si="28"/>
        <v>88.210652300000007</v>
      </c>
    </row>
    <row r="51" spans="10:39" x14ac:dyDescent="0.25">
      <c r="J51" s="5">
        <v>11</v>
      </c>
      <c r="K51" s="5" t="str">
        <f t="shared" si="18"/>
        <v>PHN (PD)</v>
      </c>
      <c r="L51" s="33" t="s">
        <v>91</v>
      </c>
      <c r="M51" s="33">
        <f t="shared" ref="M51:X51" si="29">M33*1.03</f>
        <v>57.5888347</v>
      </c>
      <c r="N51" s="33">
        <f t="shared" si="29"/>
        <v>62.196323400000004</v>
      </c>
      <c r="O51" s="33">
        <f t="shared" si="29"/>
        <v>65.304760399999992</v>
      </c>
      <c r="P51" s="33">
        <f t="shared" si="29"/>
        <v>68.572332400000008</v>
      </c>
      <c r="Q51" s="33">
        <f t="shared" si="29"/>
        <v>71.3158198</v>
      </c>
      <c r="R51" s="33">
        <f t="shared" si="29"/>
        <v>74.165397200000001</v>
      </c>
      <c r="S51" s="33">
        <f t="shared" si="29"/>
        <v>76.761419500000017</v>
      </c>
      <c r="T51" s="33">
        <f t="shared" si="29"/>
        <v>79.256656299999989</v>
      </c>
      <c r="U51" s="33">
        <f t="shared" si="29"/>
        <v>81.833582399999997</v>
      </c>
      <c r="V51" s="33">
        <f t="shared" si="29"/>
        <v>83.960686899999999</v>
      </c>
      <c r="W51" s="33">
        <f t="shared" si="29"/>
        <v>86.060208000000003</v>
      </c>
      <c r="X51" s="33">
        <f t="shared" si="29"/>
        <v>88.210652300000007</v>
      </c>
    </row>
    <row r="52" spans="10:39" x14ac:dyDescent="0.25">
      <c r="J52" s="5">
        <v>12</v>
      </c>
      <c r="K52" s="5" t="str">
        <f t="shared" si="18"/>
        <v>SR. PHN (PD)</v>
      </c>
      <c r="L52" s="33" t="s">
        <v>91</v>
      </c>
      <c r="M52" s="33">
        <f t="shared" ref="M52:X52" si="30">M34*1.03</f>
        <v>60.467056400000004</v>
      </c>
      <c r="N52" s="33">
        <f t="shared" si="30"/>
        <v>65.304760399999992</v>
      </c>
      <c r="O52" s="33">
        <f t="shared" si="30"/>
        <v>68.572332400000008</v>
      </c>
      <c r="P52" s="33">
        <f t="shared" si="30"/>
        <v>71.999039400000001</v>
      </c>
      <c r="Q52" s="33">
        <f t="shared" si="30"/>
        <v>74.878321999999997</v>
      </c>
      <c r="R52" s="33">
        <f t="shared" si="30"/>
        <v>77.875364500000003</v>
      </c>
      <c r="S52" s="33">
        <f t="shared" si="30"/>
        <v>80.599755700000003</v>
      </c>
      <c r="T52" s="33">
        <f t="shared" si="30"/>
        <v>83.221239600000004</v>
      </c>
      <c r="U52" s="33">
        <f t="shared" si="30"/>
        <v>85.926534600000011</v>
      </c>
      <c r="V52" s="33">
        <f t="shared" si="30"/>
        <v>88.158668200000008</v>
      </c>
      <c r="W52" s="33">
        <f t="shared" si="30"/>
        <v>90.363218399999994</v>
      </c>
      <c r="X52" s="33">
        <f t="shared" si="30"/>
        <v>92.621874500000018</v>
      </c>
    </row>
    <row r="53" spans="10:39" x14ac:dyDescent="0.25">
      <c r="J53" s="5">
        <v>13</v>
      </c>
      <c r="K53" s="5" t="str">
        <f t="shared" si="18"/>
        <v xml:space="preserve"> </v>
      </c>
      <c r="L53" s="5" t="s">
        <v>109</v>
      </c>
      <c r="M53" s="5" t="s">
        <v>109</v>
      </c>
      <c r="N53" s="5" t="s">
        <v>109</v>
      </c>
      <c r="O53" s="5" t="s">
        <v>109</v>
      </c>
      <c r="P53" s="5" t="s">
        <v>109</v>
      </c>
      <c r="Q53" s="5" t="s">
        <v>109</v>
      </c>
      <c r="R53" s="5" t="s">
        <v>109</v>
      </c>
      <c r="S53" s="5" t="s">
        <v>109</v>
      </c>
      <c r="T53" s="5" t="s">
        <v>109</v>
      </c>
      <c r="U53" s="5" t="s">
        <v>109</v>
      </c>
      <c r="V53" s="5" t="s">
        <v>109</v>
      </c>
      <c r="W53" s="5" t="s">
        <v>109</v>
      </c>
      <c r="X53" s="5" t="s">
        <v>109</v>
      </c>
    </row>
    <row r="54" spans="10:39" x14ac:dyDescent="0.25">
      <c r="J54" s="5">
        <v>14</v>
      </c>
      <c r="K54" s="5"/>
      <c r="L54" s="31" t="s">
        <v>91</v>
      </c>
      <c r="M54" s="31" t="s">
        <v>91</v>
      </c>
      <c r="N54" s="31" t="s">
        <v>91</v>
      </c>
      <c r="O54" s="31" t="s">
        <v>91</v>
      </c>
      <c r="P54" s="31" t="s">
        <v>91</v>
      </c>
      <c r="Q54" s="31" t="s">
        <v>91</v>
      </c>
      <c r="R54" s="31" t="s">
        <v>91</v>
      </c>
      <c r="S54" s="31" t="s">
        <v>91</v>
      </c>
      <c r="T54" s="31" t="s">
        <v>91</v>
      </c>
      <c r="U54" s="31" t="s">
        <v>91</v>
      </c>
      <c r="V54" s="31" t="s">
        <v>91</v>
      </c>
      <c r="W54" s="31" t="s">
        <v>91</v>
      </c>
      <c r="X54" s="31" t="s">
        <v>91</v>
      </c>
    </row>
    <row r="57" spans="10:39" x14ac:dyDescent="0.25">
      <c r="K57" s="138" t="s">
        <v>192</v>
      </c>
      <c r="L57" s="137"/>
      <c r="M57" s="137"/>
      <c r="N57" s="137"/>
      <c r="O57" s="137"/>
      <c r="P57" s="137"/>
      <c r="Q57" s="137"/>
      <c r="R57" s="137"/>
      <c r="S57" s="137"/>
      <c r="T57" s="137"/>
      <c r="U57" s="137"/>
      <c r="V57" s="137"/>
      <c r="W57" s="137"/>
      <c r="X57" s="137"/>
    </row>
    <row r="58" spans="10:39" x14ac:dyDescent="0.25">
      <c r="K58" s="5"/>
      <c r="L58" s="29">
        <v>-800</v>
      </c>
      <c r="M58" s="29">
        <v>0</v>
      </c>
      <c r="N58" s="29">
        <v>1600</v>
      </c>
      <c r="O58" s="29">
        <f>N58*2</f>
        <v>3200</v>
      </c>
      <c r="P58" s="29">
        <f>N58*3</f>
        <v>4800</v>
      </c>
      <c r="Q58" s="29">
        <f>N58*4</f>
        <v>6400</v>
      </c>
      <c r="R58" s="29">
        <f>N58*5</f>
        <v>8000</v>
      </c>
      <c r="S58" s="29">
        <f>N58*6</f>
        <v>9600</v>
      </c>
      <c r="T58" s="29">
        <f>N58*8</f>
        <v>12800</v>
      </c>
      <c r="U58" s="29">
        <f>N58*10</f>
        <v>16000</v>
      </c>
      <c r="V58" s="29">
        <f>N58*15</f>
        <v>24000</v>
      </c>
      <c r="W58" s="29">
        <f>N58*20</f>
        <v>32000</v>
      </c>
      <c r="X58" s="29">
        <f>N58*25</f>
        <v>40000</v>
      </c>
    </row>
    <row r="59" spans="10:39" x14ac:dyDescent="0.25">
      <c r="K59" s="5"/>
      <c r="L59" s="29" t="s">
        <v>89</v>
      </c>
      <c r="M59" s="29" t="s">
        <v>67</v>
      </c>
      <c r="N59" s="29" t="s">
        <v>68</v>
      </c>
      <c r="O59" s="29" t="s">
        <v>69</v>
      </c>
      <c r="P59" s="29" t="s">
        <v>70</v>
      </c>
      <c r="Q59" s="29" t="s">
        <v>71</v>
      </c>
      <c r="R59" s="29" t="s">
        <v>72</v>
      </c>
      <c r="S59" s="29" t="s">
        <v>73</v>
      </c>
      <c r="T59" s="29" t="s">
        <v>74</v>
      </c>
      <c r="U59" s="29" t="s">
        <v>75</v>
      </c>
      <c r="V59" s="29" t="s">
        <v>76</v>
      </c>
      <c r="W59" s="29" t="s">
        <v>77</v>
      </c>
      <c r="X59" s="29" t="s">
        <v>78</v>
      </c>
    </row>
    <row r="60" spans="10:39" x14ac:dyDescent="0.25">
      <c r="J60" s="5">
        <v>1</v>
      </c>
      <c r="K60" s="5" t="str">
        <f t="shared" ref="K60:K71" si="31">K41</f>
        <v>Level II (FT/PT)</v>
      </c>
      <c r="L60" s="33">
        <f>L41*1.04</f>
        <v>43.741755720000015</v>
      </c>
      <c r="M60" s="33">
        <f t="shared" ref="M60:X60" si="32">M41*1.04</f>
        <v>46.36548872800001</v>
      </c>
      <c r="N60" s="33">
        <f t="shared" si="32"/>
        <v>50.076007696000012</v>
      </c>
      <c r="O60" s="33">
        <f t="shared" si="32"/>
        <v>52.579477080000011</v>
      </c>
      <c r="P60" s="33">
        <f t="shared" si="32"/>
        <v>55.208726767999998</v>
      </c>
      <c r="Q60" s="33">
        <f t="shared" si="32"/>
        <v>57.417605439999996</v>
      </c>
      <c r="R60" s="33">
        <f t="shared" si="32"/>
        <v>59.712544320000006</v>
      </c>
      <c r="S60" s="33">
        <f t="shared" si="32"/>
        <v>61.802262704000007</v>
      </c>
      <c r="T60" s="33">
        <f t="shared" si="32"/>
        <v>63.812540896000009</v>
      </c>
      <c r="U60" s="33">
        <f t="shared" si="32"/>
        <v>65.885709240000011</v>
      </c>
      <c r="V60" s="33">
        <f t="shared" si="32"/>
        <v>67.598086712000011</v>
      </c>
      <c r="W60" s="33">
        <f t="shared" si="32"/>
        <v>69.288397464000013</v>
      </c>
      <c r="X60" s="33">
        <f t="shared" si="32"/>
        <v>71.020634984000012</v>
      </c>
      <c r="Y60" s="33"/>
      <c r="Z60" s="33"/>
      <c r="AA60" s="33"/>
      <c r="AB60" s="33"/>
      <c r="AC60" s="33"/>
      <c r="AD60" s="33"/>
      <c r="AE60" s="33"/>
      <c r="AF60" s="33"/>
      <c r="AG60" s="33"/>
      <c r="AH60" s="33"/>
      <c r="AI60" s="33"/>
      <c r="AJ60" s="33"/>
      <c r="AK60" s="33"/>
      <c r="AL60" s="33"/>
      <c r="AM60" s="33"/>
    </row>
    <row r="61" spans="10:39" x14ac:dyDescent="0.25">
      <c r="J61" s="5">
        <v>2</v>
      </c>
      <c r="K61" s="5" t="str">
        <f t="shared" si="31"/>
        <v>Level III (FT/PT)</v>
      </c>
      <c r="L61" s="33">
        <f>L42*1.04</f>
        <v>45.493853287999997</v>
      </c>
      <c r="M61" s="33">
        <f t="shared" ref="M61" si="33">M42*1.04</f>
        <v>48.223506552000003</v>
      </c>
      <c r="N61" s="33">
        <f t="shared" ref="N61:X61" si="34">N42*1.04</f>
        <v>52.080769208000014</v>
      </c>
      <c r="O61" s="33">
        <f t="shared" si="34"/>
        <v>54.685745504000003</v>
      </c>
      <c r="P61" s="33">
        <f t="shared" si="34"/>
        <v>57.418708776000003</v>
      </c>
      <c r="Q61" s="33">
        <f t="shared" si="34"/>
        <v>59.714750991999999</v>
      </c>
      <c r="R61" s="33">
        <f t="shared" si="34"/>
        <v>62.103473432000001</v>
      </c>
      <c r="S61" s="33">
        <f t="shared" si="34"/>
        <v>64.277045352000002</v>
      </c>
      <c r="T61" s="33">
        <f t="shared" si="34"/>
        <v>66.36566040000001</v>
      </c>
      <c r="U61" s="33">
        <f t="shared" si="34"/>
        <v>68.523785616000012</v>
      </c>
      <c r="V61" s="33">
        <f t="shared" si="34"/>
        <v>70.305673255999992</v>
      </c>
      <c r="W61" s="33">
        <f t="shared" si="34"/>
        <v>72.062184168000002</v>
      </c>
      <c r="X61" s="33">
        <f t="shared" si="34"/>
        <v>73.865035192000008</v>
      </c>
      <c r="Y61" s="33"/>
      <c r="Z61" s="33"/>
      <c r="AA61" s="33"/>
      <c r="AB61" s="33"/>
      <c r="AC61" s="33"/>
      <c r="AD61" s="33"/>
      <c r="AE61" s="33"/>
      <c r="AF61" s="33"/>
      <c r="AG61" s="33"/>
      <c r="AH61" s="33"/>
      <c r="AI61" s="33"/>
      <c r="AJ61" s="33"/>
      <c r="AK61" s="33"/>
      <c r="AL61" s="33"/>
      <c r="AM61" s="33"/>
    </row>
    <row r="62" spans="10:39" x14ac:dyDescent="0.25">
      <c r="J62" s="5">
        <v>3</v>
      </c>
      <c r="K62" s="5" t="str">
        <f t="shared" si="31"/>
        <v>Level IV (FT/PT)</v>
      </c>
      <c r="L62" s="33" t="s">
        <v>91</v>
      </c>
      <c r="M62" s="33">
        <f t="shared" ref="M62:X62" si="35">M43*1.04</f>
        <v>48.684701000000011</v>
      </c>
      <c r="N62" s="33">
        <f t="shared" si="35"/>
        <v>52.579477080000011</v>
      </c>
      <c r="O62" s="33">
        <f t="shared" si="35"/>
        <v>55.208726767999998</v>
      </c>
      <c r="P62" s="33">
        <f t="shared" si="35"/>
        <v>57.968170104000009</v>
      </c>
      <c r="Q62" s="33">
        <f t="shared" si="35"/>
        <v>60.286279040000004</v>
      </c>
      <c r="R62" s="33">
        <f t="shared" si="35"/>
        <v>62.699274872000004</v>
      </c>
      <c r="S62" s="33">
        <f t="shared" si="35"/>
        <v>64.892706840000002</v>
      </c>
      <c r="T62" s="33">
        <f t="shared" si="35"/>
        <v>67.002285271999995</v>
      </c>
      <c r="U62" s="33">
        <f t="shared" si="35"/>
        <v>69.179167200000009</v>
      </c>
      <c r="V62" s="33">
        <f t="shared" si="35"/>
        <v>70.978708216000001</v>
      </c>
      <c r="W62" s="33">
        <f t="shared" si="35"/>
        <v>72.75397584000001</v>
      </c>
      <c r="X62" s="33">
        <f t="shared" si="35"/>
        <v>74.573376904</v>
      </c>
      <c r="Y62" s="33"/>
      <c r="Z62" s="33"/>
      <c r="AA62" s="33"/>
      <c r="AB62" s="33"/>
      <c r="AC62" s="33"/>
      <c r="AD62" s="33"/>
      <c r="AE62" s="33"/>
      <c r="AF62" s="33"/>
      <c r="AG62" s="33"/>
      <c r="AH62" s="33"/>
      <c r="AI62" s="33"/>
      <c r="AJ62" s="33"/>
      <c r="AK62" s="33"/>
      <c r="AL62" s="33"/>
      <c r="AM62" s="33"/>
    </row>
    <row r="63" spans="10:39" x14ac:dyDescent="0.25">
      <c r="J63" s="5">
        <v>4</v>
      </c>
      <c r="K63" s="5" t="str">
        <f t="shared" si="31"/>
        <v>Level V (FT/PT)</v>
      </c>
      <c r="L63" s="33" t="s">
        <v>91</v>
      </c>
      <c r="M63" s="33">
        <f t="shared" ref="M63:X63" si="36">M44*1.04</f>
        <v>49.910507296000006</v>
      </c>
      <c r="N63" s="33">
        <f t="shared" si="36"/>
        <v>53.903480280000004</v>
      </c>
      <c r="O63" s="33">
        <f t="shared" si="36"/>
        <v>56.597826791999999</v>
      </c>
      <c r="P63" s="33">
        <f t="shared" si="36"/>
        <v>59.428986968000004</v>
      </c>
      <c r="Q63" s="33">
        <f t="shared" si="36"/>
        <v>61.806676048000007</v>
      </c>
      <c r="R63" s="33">
        <f t="shared" si="36"/>
        <v>64.277045352000002</v>
      </c>
      <c r="S63" s="33">
        <f t="shared" si="36"/>
        <v>66.52674745600001</v>
      </c>
      <c r="T63" s="33">
        <f t="shared" si="36"/>
        <v>68.688182680000011</v>
      </c>
      <c r="U63" s="33">
        <f t="shared" si="36"/>
        <v>70.922438080000006</v>
      </c>
      <c r="V63" s="33">
        <f t="shared" si="36"/>
        <v>72.766112536000009</v>
      </c>
      <c r="W63" s="33">
        <f t="shared" si="36"/>
        <v>74.585513600000013</v>
      </c>
      <c r="X63" s="33">
        <f t="shared" si="36"/>
        <v>76.449048104000013</v>
      </c>
      <c r="Y63" s="33"/>
      <c r="Z63" s="33"/>
      <c r="AA63" s="33"/>
      <c r="AB63" s="33"/>
      <c r="AC63" s="33"/>
      <c r="AD63" s="33"/>
      <c r="AE63" s="33"/>
      <c r="AF63" s="33"/>
      <c r="AG63" s="33"/>
      <c r="AH63" s="33"/>
      <c r="AI63" s="33"/>
      <c r="AJ63" s="33"/>
      <c r="AK63" s="33"/>
      <c r="AL63" s="33"/>
      <c r="AM63" s="33"/>
    </row>
    <row r="64" spans="10:39" x14ac:dyDescent="0.25">
      <c r="J64" s="5">
        <v>5</v>
      </c>
      <c r="K64" s="5" t="str">
        <f t="shared" si="31"/>
        <v>PHN (FT/PT)</v>
      </c>
      <c r="L64" s="33" t="s">
        <v>91</v>
      </c>
      <c r="M64" s="33">
        <f t="shared" ref="M64:X64" si="37">M45*1.04</f>
        <v>49.910507296000006</v>
      </c>
      <c r="N64" s="33">
        <f t="shared" si="37"/>
        <v>53.903480280000004</v>
      </c>
      <c r="O64" s="33">
        <f t="shared" si="37"/>
        <v>56.597826791999999</v>
      </c>
      <c r="P64" s="33">
        <f t="shared" si="37"/>
        <v>59.428986968000004</v>
      </c>
      <c r="Q64" s="33">
        <f t="shared" si="37"/>
        <v>61.806676048000007</v>
      </c>
      <c r="R64" s="33">
        <f t="shared" si="37"/>
        <v>64.277045352000002</v>
      </c>
      <c r="S64" s="33">
        <f t="shared" si="37"/>
        <v>66.52674745600001</v>
      </c>
      <c r="T64" s="33">
        <f t="shared" si="37"/>
        <v>68.689286016000011</v>
      </c>
      <c r="U64" s="33">
        <f t="shared" si="37"/>
        <v>70.922438080000006</v>
      </c>
      <c r="V64" s="33">
        <f t="shared" si="37"/>
        <v>72.766112536000009</v>
      </c>
      <c r="W64" s="33">
        <f t="shared" si="37"/>
        <v>74.585513600000013</v>
      </c>
      <c r="X64" s="33">
        <f t="shared" si="37"/>
        <v>76.449048104000013</v>
      </c>
      <c r="Y64" s="33"/>
      <c r="Z64" s="33"/>
      <c r="AA64" s="33"/>
      <c r="AB64" s="33"/>
      <c r="AC64" s="33"/>
      <c r="AD64" s="33"/>
      <c r="AE64" s="33"/>
      <c r="AF64" s="33"/>
      <c r="AG64" s="33"/>
      <c r="AH64" s="33"/>
      <c r="AI64" s="33"/>
      <c r="AJ64" s="33"/>
      <c r="AK64" s="33"/>
      <c r="AL64" s="33"/>
      <c r="AM64" s="33"/>
    </row>
    <row r="65" spans="10:39" x14ac:dyDescent="0.25">
      <c r="J65" s="5">
        <v>6</v>
      </c>
      <c r="K65" s="5" t="str">
        <f t="shared" si="31"/>
        <v>SR. PHN (FT/PT)</v>
      </c>
      <c r="L65" s="33" t="s">
        <v>91</v>
      </c>
      <c r="M65" s="33">
        <f t="shared" ref="M65:X65" si="38">M46*1.04</f>
        <v>52.405149992000005</v>
      </c>
      <c r="N65" s="33">
        <f t="shared" si="38"/>
        <v>56.597826791999999</v>
      </c>
      <c r="O65" s="33">
        <f t="shared" si="38"/>
        <v>59.428986968000004</v>
      </c>
      <c r="P65" s="33">
        <f t="shared" si="38"/>
        <v>62.399167479999996</v>
      </c>
      <c r="Q65" s="33">
        <f t="shared" si="38"/>
        <v>64.894913512000002</v>
      </c>
      <c r="R65" s="33">
        <f t="shared" si="38"/>
        <v>67.492166455999993</v>
      </c>
      <c r="S65" s="33">
        <f t="shared" si="38"/>
        <v>69.853305496000004</v>
      </c>
      <c r="T65" s="33">
        <f t="shared" si="38"/>
        <v>72.125074320000024</v>
      </c>
      <c r="U65" s="33">
        <f t="shared" si="38"/>
        <v>74.469663320000009</v>
      </c>
      <c r="V65" s="33">
        <f t="shared" si="38"/>
        <v>76.403811328000003</v>
      </c>
      <c r="W65" s="33">
        <f t="shared" si="38"/>
        <v>78.314789280000014</v>
      </c>
      <c r="X65" s="33">
        <f t="shared" si="38"/>
        <v>80.27210734400002</v>
      </c>
      <c r="Y65" s="33"/>
      <c r="Z65" s="33"/>
      <c r="AA65" s="33"/>
      <c r="AB65" s="33"/>
      <c r="AC65" s="33"/>
      <c r="AD65" s="33"/>
      <c r="AE65" s="33"/>
      <c r="AF65" s="33"/>
      <c r="AG65" s="33"/>
      <c r="AH65" s="33"/>
      <c r="AI65" s="33"/>
      <c r="AJ65" s="33"/>
      <c r="AK65" s="33"/>
      <c r="AL65" s="33"/>
      <c r="AM65" s="33"/>
    </row>
    <row r="66" spans="10:39" x14ac:dyDescent="0.25">
      <c r="J66" s="5">
        <v>7</v>
      </c>
      <c r="K66" s="5" t="str">
        <f t="shared" si="31"/>
        <v>Level II (PD)</v>
      </c>
      <c r="L66" s="33">
        <f>L47*1.04</f>
        <v>52.490106863999998</v>
      </c>
      <c r="M66" s="33">
        <f t="shared" ref="M66:X66" si="39">M47*1.04</f>
        <v>55.639027808000009</v>
      </c>
      <c r="N66" s="33">
        <f t="shared" si="39"/>
        <v>60.090988568000007</v>
      </c>
      <c r="O66" s="33">
        <f t="shared" si="39"/>
        <v>63.09537249600001</v>
      </c>
      <c r="P66" s="33">
        <f t="shared" si="39"/>
        <v>66.250913456000006</v>
      </c>
      <c r="Q66" s="33">
        <f t="shared" si="39"/>
        <v>68.901126527999992</v>
      </c>
      <c r="R66" s="33">
        <f t="shared" si="39"/>
        <v>71.655053183999996</v>
      </c>
      <c r="S66" s="33">
        <f t="shared" si="39"/>
        <v>74.162935911999995</v>
      </c>
      <c r="T66" s="33">
        <f t="shared" si="39"/>
        <v>76.574828408000016</v>
      </c>
      <c r="U66" s="33">
        <f t="shared" si="39"/>
        <v>79.062851088000016</v>
      </c>
      <c r="V66" s="33">
        <f t="shared" si="39"/>
        <v>81.117262720000014</v>
      </c>
      <c r="W66" s="33">
        <f t="shared" si="39"/>
        <v>83.146297624000013</v>
      </c>
      <c r="X66" s="33">
        <f t="shared" si="39"/>
        <v>85.224982647999994</v>
      </c>
      <c r="Y66" s="33"/>
      <c r="Z66" s="33"/>
      <c r="AA66" s="33"/>
      <c r="AB66" s="33"/>
      <c r="AC66" s="33"/>
      <c r="AD66" s="33"/>
      <c r="AE66" s="33"/>
      <c r="AF66" s="33"/>
      <c r="AG66" s="33"/>
      <c r="AH66" s="33"/>
      <c r="AI66" s="33"/>
      <c r="AJ66" s="33"/>
      <c r="AK66" s="33"/>
      <c r="AL66" s="33"/>
      <c r="AM66" s="33"/>
    </row>
    <row r="67" spans="10:39" x14ac:dyDescent="0.25">
      <c r="J67" s="5">
        <v>8</v>
      </c>
      <c r="K67" s="5" t="str">
        <f t="shared" si="31"/>
        <v>Level III (PD)</v>
      </c>
      <c r="L67" s="33">
        <f>L48*1.04</f>
        <v>54.593065280000005</v>
      </c>
      <c r="M67" s="33">
        <f t="shared" ref="M67:X67" si="40">M48*1.04</f>
        <v>57.867766528000004</v>
      </c>
      <c r="N67" s="33">
        <f t="shared" si="40"/>
        <v>62.497364384000001</v>
      </c>
      <c r="O67" s="33">
        <f t="shared" si="40"/>
        <v>65.623115272000007</v>
      </c>
      <c r="P67" s="33">
        <f t="shared" si="40"/>
        <v>68.902229863999992</v>
      </c>
      <c r="Q67" s="33">
        <f t="shared" si="40"/>
        <v>71.657259855999996</v>
      </c>
      <c r="R67" s="33">
        <f t="shared" si="40"/>
        <v>74.523726784000004</v>
      </c>
      <c r="S67" s="33">
        <f t="shared" si="40"/>
        <v>77.132013088000008</v>
      </c>
      <c r="T67" s="33">
        <f t="shared" si="40"/>
        <v>79.638792480000021</v>
      </c>
      <c r="U67" s="33">
        <f t="shared" si="40"/>
        <v>82.228322072000012</v>
      </c>
      <c r="V67" s="33">
        <f t="shared" si="40"/>
        <v>84.366587240000001</v>
      </c>
      <c r="W67" s="33">
        <f t="shared" si="40"/>
        <v>86.475062336000022</v>
      </c>
      <c r="X67" s="33">
        <f t="shared" si="40"/>
        <v>88.637600896000009</v>
      </c>
      <c r="Y67" s="33"/>
      <c r="Z67" s="33"/>
      <c r="AA67" s="33"/>
      <c r="AB67" s="33"/>
      <c r="AC67" s="33"/>
      <c r="AD67" s="33"/>
      <c r="AE67" s="33"/>
      <c r="AF67" s="33"/>
      <c r="AG67" s="33"/>
      <c r="AH67" s="33"/>
      <c r="AI67" s="33"/>
      <c r="AJ67" s="33"/>
      <c r="AK67" s="33"/>
      <c r="AL67" s="33"/>
      <c r="AM67" s="33"/>
    </row>
    <row r="68" spans="10:39" x14ac:dyDescent="0.25">
      <c r="J68" s="5">
        <v>9</v>
      </c>
      <c r="K68" s="5" t="str">
        <f t="shared" si="31"/>
        <v>Level IV (PD)</v>
      </c>
      <c r="L68" s="33" t="s">
        <v>91</v>
      </c>
      <c r="M68" s="33">
        <f t="shared" ref="M68:X68" si="41">M49*1.04</f>
        <v>58.42164120000001</v>
      </c>
      <c r="N68" s="33">
        <f t="shared" si="41"/>
        <v>63.09537249600001</v>
      </c>
      <c r="O68" s="33">
        <f t="shared" si="41"/>
        <v>66.250913456000006</v>
      </c>
      <c r="P68" s="33">
        <f t="shared" si="41"/>
        <v>69.562024792000017</v>
      </c>
      <c r="Q68" s="33">
        <f t="shared" si="41"/>
        <v>72.34353484799999</v>
      </c>
      <c r="R68" s="33">
        <f t="shared" si="41"/>
        <v>75.238688511999996</v>
      </c>
      <c r="S68" s="33">
        <f t="shared" si="41"/>
        <v>77.871248207999997</v>
      </c>
      <c r="T68" s="33">
        <f t="shared" si="41"/>
        <v>80.402300992000008</v>
      </c>
      <c r="U68" s="33">
        <f t="shared" si="41"/>
        <v>83.015000639999997</v>
      </c>
      <c r="V68" s="33">
        <f t="shared" si="41"/>
        <v>85.174229192000013</v>
      </c>
      <c r="W68" s="33">
        <f t="shared" si="41"/>
        <v>87.304771008000003</v>
      </c>
      <c r="X68" s="33">
        <f t="shared" si="41"/>
        <v>89.488272952000003</v>
      </c>
      <c r="Y68" s="33"/>
      <c r="Z68" s="33"/>
      <c r="AA68" s="33"/>
      <c r="AB68" s="33"/>
      <c r="AC68" s="33"/>
      <c r="AD68" s="33"/>
      <c r="AE68" s="33"/>
      <c r="AF68" s="33"/>
      <c r="AG68" s="33"/>
      <c r="AH68" s="33"/>
      <c r="AI68" s="33"/>
      <c r="AJ68" s="33"/>
      <c r="AK68" s="33"/>
      <c r="AL68" s="33"/>
      <c r="AM68" s="33"/>
    </row>
    <row r="69" spans="10:39" x14ac:dyDescent="0.25">
      <c r="J69" s="5">
        <v>10</v>
      </c>
      <c r="K69" s="5" t="str">
        <f t="shared" si="31"/>
        <v>Level V (PD)</v>
      </c>
      <c r="L69" s="33" t="s">
        <v>91</v>
      </c>
      <c r="M69" s="33">
        <f t="shared" ref="M69:X69" si="42">M50*1.04</f>
        <v>59.892388088000004</v>
      </c>
      <c r="N69" s="33">
        <f t="shared" si="42"/>
        <v>64.684176336000007</v>
      </c>
      <c r="O69" s="33">
        <f t="shared" si="42"/>
        <v>67.916950815999996</v>
      </c>
      <c r="P69" s="33">
        <f t="shared" si="42"/>
        <v>71.315225696000013</v>
      </c>
      <c r="Q69" s="33">
        <f t="shared" si="42"/>
        <v>74.168452592000008</v>
      </c>
      <c r="R69" s="33">
        <f t="shared" si="42"/>
        <v>77.132013088000008</v>
      </c>
      <c r="S69" s="33">
        <f t="shared" si="42"/>
        <v>79.831876280000017</v>
      </c>
      <c r="T69" s="33">
        <f t="shared" si="42"/>
        <v>82.425819216000008</v>
      </c>
      <c r="U69" s="33">
        <f t="shared" si="42"/>
        <v>85.106925696000005</v>
      </c>
      <c r="V69" s="33">
        <f t="shared" si="42"/>
        <v>87.319114376000002</v>
      </c>
      <c r="W69" s="33">
        <f t="shared" si="42"/>
        <v>89.502616320000001</v>
      </c>
      <c r="X69" s="33">
        <f t="shared" si="42"/>
        <v>91.73907839200001</v>
      </c>
      <c r="Y69" s="33"/>
      <c r="Z69" s="33"/>
      <c r="AA69" s="33"/>
      <c r="AB69" s="33"/>
      <c r="AC69" s="33"/>
      <c r="AD69" s="33"/>
      <c r="AE69" s="33"/>
      <c r="AF69" s="33"/>
      <c r="AG69" s="33"/>
      <c r="AH69" s="33"/>
      <c r="AI69" s="33"/>
      <c r="AJ69" s="33"/>
      <c r="AK69" s="33"/>
      <c r="AL69" s="33"/>
      <c r="AM69" s="33"/>
    </row>
    <row r="70" spans="10:39" x14ac:dyDescent="0.25">
      <c r="J70" s="5">
        <v>11</v>
      </c>
      <c r="K70" s="5" t="str">
        <f t="shared" si="31"/>
        <v>PHN (PD)</v>
      </c>
      <c r="L70" s="33" t="s">
        <v>91</v>
      </c>
      <c r="M70" s="33">
        <f t="shared" ref="M70:X70" si="43">M51*1.04</f>
        <v>59.892388088000004</v>
      </c>
      <c r="N70" s="33">
        <f t="shared" si="43"/>
        <v>64.684176336000007</v>
      </c>
      <c r="O70" s="33">
        <f t="shared" si="43"/>
        <v>67.916950815999996</v>
      </c>
      <c r="P70" s="33">
        <f t="shared" si="43"/>
        <v>71.315225696000013</v>
      </c>
      <c r="Q70" s="33">
        <f t="shared" si="43"/>
        <v>74.168452592000008</v>
      </c>
      <c r="R70" s="33">
        <f t="shared" si="43"/>
        <v>77.132013088000008</v>
      </c>
      <c r="S70" s="33">
        <f t="shared" si="43"/>
        <v>79.831876280000017</v>
      </c>
      <c r="T70" s="33">
        <f t="shared" si="43"/>
        <v>82.426922551999994</v>
      </c>
      <c r="U70" s="33">
        <f t="shared" si="43"/>
        <v>85.106925696000005</v>
      </c>
      <c r="V70" s="33">
        <f t="shared" si="43"/>
        <v>87.319114376000002</v>
      </c>
      <c r="W70" s="33">
        <f t="shared" si="43"/>
        <v>89.502616320000001</v>
      </c>
      <c r="X70" s="33">
        <f t="shared" si="43"/>
        <v>91.73907839200001</v>
      </c>
      <c r="Y70" s="33"/>
      <c r="Z70" s="33"/>
      <c r="AA70" s="33"/>
      <c r="AB70" s="33"/>
      <c r="AC70" s="33"/>
      <c r="AD70" s="33"/>
      <c r="AE70" s="33"/>
      <c r="AF70" s="33"/>
      <c r="AG70" s="33"/>
      <c r="AH70" s="33"/>
      <c r="AI70" s="33"/>
      <c r="AJ70" s="33"/>
      <c r="AK70" s="33"/>
      <c r="AL70" s="33"/>
      <c r="AM70" s="33"/>
    </row>
    <row r="71" spans="10:39" x14ac:dyDescent="0.25">
      <c r="J71" s="5">
        <v>12</v>
      </c>
      <c r="K71" s="5" t="str">
        <f t="shared" si="31"/>
        <v>SR. PHN (PD)</v>
      </c>
      <c r="L71" s="33" t="s">
        <v>91</v>
      </c>
      <c r="M71" s="33">
        <f t="shared" ref="M71:X71" si="44">M52*1.04</f>
        <v>62.885738656000008</v>
      </c>
      <c r="N71" s="33">
        <f t="shared" si="44"/>
        <v>67.916950815999996</v>
      </c>
      <c r="O71" s="33">
        <f t="shared" si="44"/>
        <v>71.315225696000013</v>
      </c>
      <c r="P71" s="33">
        <f t="shared" si="44"/>
        <v>74.879000976</v>
      </c>
      <c r="Q71" s="33">
        <f t="shared" si="44"/>
        <v>77.873454879999997</v>
      </c>
      <c r="R71" s="33">
        <f t="shared" si="44"/>
        <v>80.990379080000011</v>
      </c>
      <c r="S71" s="33">
        <f t="shared" si="44"/>
        <v>83.823745928000008</v>
      </c>
      <c r="T71" s="33">
        <f t="shared" si="44"/>
        <v>86.550089184000001</v>
      </c>
      <c r="U71" s="33">
        <f t="shared" si="44"/>
        <v>89.363595984000014</v>
      </c>
      <c r="V71" s="33">
        <f t="shared" si="44"/>
        <v>91.685014928000015</v>
      </c>
      <c r="W71" s="33">
        <f t="shared" si="44"/>
        <v>93.977747135999991</v>
      </c>
      <c r="X71" s="33">
        <f t="shared" si="44"/>
        <v>96.326749480000018</v>
      </c>
      <c r="Y71" s="33"/>
      <c r="Z71" s="33"/>
      <c r="AA71" s="33"/>
      <c r="AB71" s="33"/>
      <c r="AC71" s="33"/>
      <c r="AD71" s="33"/>
      <c r="AE71" s="33"/>
      <c r="AF71" s="33"/>
      <c r="AG71" s="33"/>
      <c r="AH71" s="33"/>
      <c r="AI71" s="33"/>
      <c r="AJ71" s="33"/>
      <c r="AK71" s="33"/>
      <c r="AL71" s="33"/>
      <c r="AM71" s="33"/>
    </row>
    <row r="72" spans="10:39" x14ac:dyDescent="0.25">
      <c r="J72" s="5">
        <v>13</v>
      </c>
      <c r="K72" s="5" t="str">
        <f t="shared" ref="K72" si="45">K53</f>
        <v xml:space="preserve"> </v>
      </c>
      <c r="L72" s="5" t="s">
        <v>109</v>
      </c>
      <c r="M72" s="5" t="s">
        <v>109</v>
      </c>
      <c r="N72" s="5" t="s">
        <v>109</v>
      </c>
      <c r="O72" s="5" t="s">
        <v>109</v>
      </c>
      <c r="P72" s="5" t="s">
        <v>109</v>
      </c>
      <c r="Q72" s="5" t="s">
        <v>109</v>
      </c>
      <c r="R72" s="5" t="s">
        <v>109</v>
      </c>
      <c r="S72" s="5" t="s">
        <v>109</v>
      </c>
      <c r="T72" s="5" t="s">
        <v>109</v>
      </c>
      <c r="U72" s="5" t="s">
        <v>109</v>
      </c>
      <c r="V72" s="5" t="s">
        <v>109</v>
      </c>
      <c r="W72" s="5" t="s">
        <v>109</v>
      </c>
      <c r="X72" s="5" t="s">
        <v>109</v>
      </c>
      <c r="Y72" s="33"/>
      <c r="Z72" s="33"/>
      <c r="AA72" s="33"/>
      <c r="AB72" s="33"/>
      <c r="AC72" s="33"/>
      <c r="AD72" s="33"/>
      <c r="AE72" s="33"/>
      <c r="AF72" s="33"/>
      <c r="AG72" s="33"/>
      <c r="AH72" s="33"/>
      <c r="AI72" s="33"/>
      <c r="AJ72" s="33"/>
      <c r="AK72" s="33"/>
      <c r="AL72" s="33"/>
      <c r="AM72" s="33"/>
    </row>
    <row r="73" spans="10:39" x14ac:dyDescent="0.25">
      <c r="J73" s="5">
        <v>14</v>
      </c>
      <c r="K73" s="5"/>
      <c r="L73" s="31" t="s">
        <v>91</v>
      </c>
      <c r="M73" s="31" t="s">
        <v>91</v>
      </c>
      <c r="N73" s="31" t="s">
        <v>91</v>
      </c>
      <c r="O73" s="31" t="s">
        <v>91</v>
      </c>
      <c r="P73" s="31" t="s">
        <v>91</v>
      </c>
      <c r="Q73" s="31" t="s">
        <v>91</v>
      </c>
      <c r="R73" s="31" t="s">
        <v>91</v>
      </c>
      <c r="S73" s="31" t="s">
        <v>91</v>
      </c>
      <c r="T73" s="31" t="s">
        <v>91</v>
      </c>
      <c r="U73" s="31" t="s">
        <v>91</v>
      </c>
      <c r="V73" s="31" t="s">
        <v>91</v>
      </c>
      <c r="W73" s="31" t="s">
        <v>91</v>
      </c>
      <c r="X73" s="31" t="s">
        <v>91</v>
      </c>
      <c r="Y73" s="33"/>
      <c r="Z73" s="33"/>
      <c r="AA73" s="33"/>
      <c r="AB73" s="33"/>
      <c r="AC73" s="33"/>
      <c r="AD73" s="33"/>
      <c r="AE73" s="33"/>
      <c r="AF73" s="33"/>
      <c r="AG73" s="33"/>
      <c r="AH73" s="33"/>
      <c r="AI73" s="33"/>
      <c r="AJ73" s="33"/>
      <c r="AK73" s="33"/>
      <c r="AL73" s="33"/>
      <c r="AM73" s="33"/>
    </row>
    <row r="74" spans="10:39" x14ac:dyDescent="0.25">
      <c r="J74" s="5"/>
      <c r="Y74" s="33"/>
      <c r="Z74" s="33"/>
      <c r="AA74" s="33"/>
      <c r="AB74" s="33"/>
      <c r="AC74" s="33"/>
      <c r="AD74" s="33"/>
      <c r="AE74" s="33"/>
      <c r="AF74" s="33"/>
      <c r="AG74" s="33"/>
      <c r="AH74" s="33"/>
      <c r="AI74" s="33"/>
      <c r="AJ74" s="33"/>
      <c r="AK74" s="33"/>
      <c r="AL74" s="33"/>
      <c r="AM74" s="33"/>
    </row>
    <row r="75" spans="10:39" x14ac:dyDescent="0.25">
      <c r="Y75" s="33"/>
      <c r="Z75" s="33"/>
      <c r="AA75" s="33"/>
      <c r="AB75" s="33"/>
      <c r="AC75" s="33"/>
      <c r="AD75" s="33"/>
      <c r="AE75" s="33"/>
      <c r="AF75" s="33"/>
      <c r="AG75" s="33"/>
      <c r="AH75" s="33"/>
      <c r="AI75" s="33"/>
      <c r="AJ75" s="33"/>
      <c r="AK75" s="33"/>
      <c r="AL75" s="33"/>
      <c r="AM75" s="33"/>
    </row>
    <row r="76" spans="10:39" x14ac:dyDescent="0.25">
      <c r="Y76" s="33"/>
      <c r="Z76" s="33"/>
      <c r="AA76" s="33"/>
      <c r="AB76" s="33"/>
      <c r="AC76" s="33"/>
      <c r="AD76" s="33"/>
      <c r="AE76" s="33"/>
      <c r="AF76" s="33"/>
      <c r="AG76" s="33"/>
      <c r="AH76" s="33"/>
      <c r="AI76" s="33"/>
      <c r="AJ76" s="33"/>
      <c r="AK76" s="33"/>
      <c r="AL76" s="33"/>
      <c r="AM76" s="33"/>
    </row>
    <row r="77" spans="10:39" x14ac:dyDescent="0.25">
      <c r="Y77" s="33"/>
      <c r="Z77" s="33"/>
      <c r="AA77" s="33"/>
      <c r="AB77" s="33"/>
      <c r="AC77" s="33"/>
      <c r="AD77" s="33"/>
      <c r="AE77" s="33"/>
      <c r="AF77" s="33"/>
      <c r="AG77" s="33"/>
      <c r="AH77" s="33"/>
      <c r="AI77" s="33"/>
      <c r="AJ77" s="33"/>
      <c r="AK77" s="33"/>
      <c r="AL77" s="33"/>
      <c r="AM77" s="33"/>
    </row>
  </sheetData>
  <mergeCells count="11">
    <mergeCell ref="E1:G1"/>
    <mergeCell ref="J3:X3"/>
    <mergeCell ref="J20:X20"/>
    <mergeCell ref="J38:X38"/>
    <mergeCell ref="K57:X57"/>
    <mergeCell ref="J2:X2"/>
    <mergeCell ref="AD2:AE2"/>
    <mergeCell ref="Z8:AH8"/>
    <mergeCell ref="Z11:AA11"/>
    <mergeCell ref="AB11:AC11"/>
    <mergeCell ref="AE11:AF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62"/>
  <sheetViews>
    <sheetView topLeftCell="B1" workbookViewId="0">
      <selection activeCell="A2" sqref="A2"/>
    </sheetView>
  </sheetViews>
  <sheetFormatPr defaultRowHeight="15" x14ac:dyDescent="0.25"/>
  <cols>
    <col min="1" max="1" width="13.28515625" customWidth="1"/>
    <col min="2" max="2" width="12.28515625" customWidth="1"/>
    <col min="3" max="4" width="13.85546875" customWidth="1"/>
    <col min="5" max="5" width="14.28515625" bestFit="1" customWidth="1"/>
    <col min="6" max="6" width="11.85546875" bestFit="1" customWidth="1"/>
    <col min="7" max="7" width="11.85546875" customWidth="1"/>
    <col min="8" max="9" width="15.42578125" customWidth="1"/>
    <col min="10" max="12" width="18" customWidth="1"/>
    <col min="13" max="13" width="17.28515625" bestFit="1" customWidth="1"/>
    <col min="14" max="14" width="11.5703125" bestFit="1" customWidth="1"/>
    <col min="15" max="16" width="14.42578125" customWidth="1"/>
    <col min="17" max="17" width="16.28515625" customWidth="1"/>
    <col min="18" max="18" width="5.7109375" bestFit="1" customWidth="1"/>
    <col min="19" max="19" width="18.28515625" customWidth="1"/>
    <col min="20" max="20" width="17.5703125" customWidth="1"/>
  </cols>
  <sheetData>
    <row r="1" spans="1:23" s="4" customFormat="1" ht="28.9" customHeight="1" x14ac:dyDescent="0.25">
      <c r="A1" s="6" t="s">
        <v>15</v>
      </c>
      <c r="B1" s="6" t="s">
        <v>3</v>
      </c>
      <c r="C1" s="6" t="s">
        <v>2</v>
      </c>
      <c r="D1" s="6" t="s">
        <v>18</v>
      </c>
      <c r="E1" s="154" t="s">
        <v>19</v>
      </c>
      <c r="F1" s="137"/>
      <c r="G1" s="1"/>
      <c r="H1" s="154" t="s">
        <v>41</v>
      </c>
      <c r="I1" s="137"/>
      <c r="J1" s="154" t="s">
        <v>46</v>
      </c>
      <c r="K1" s="137"/>
      <c r="L1" s="7" t="s">
        <v>49</v>
      </c>
      <c r="M1" s="154" t="s">
        <v>28</v>
      </c>
      <c r="N1" s="137"/>
      <c r="O1" s="143"/>
      <c r="P1" s="143"/>
      <c r="Q1" s="154" t="s">
        <v>42</v>
      </c>
      <c r="R1" s="137"/>
      <c r="S1" s="155" t="s">
        <v>48</v>
      </c>
      <c r="T1" s="156"/>
      <c r="U1" s="156"/>
      <c r="V1" s="154"/>
      <c r="W1" s="154"/>
    </row>
    <row r="2" spans="1:23" s="4" customFormat="1" ht="29.45" customHeight="1" x14ac:dyDescent="0.25">
      <c r="A2" s="6"/>
      <c r="B2" s="6"/>
      <c r="C2" s="6"/>
      <c r="D2" s="6"/>
      <c r="F2" s="7" t="s">
        <v>44</v>
      </c>
      <c r="G2" s="7" t="s">
        <v>45</v>
      </c>
      <c r="H2" s="6" t="s">
        <v>44</v>
      </c>
      <c r="I2" s="6" t="s">
        <v>45</v>
      </c>
      <c r="J2" s="6" t="s">
        <v>47</v>
      </c>
      <c r="K2" s="10" t="s">
        <v>45</v>
      </c>
      <c r="L2" s="10"/>
      <c r="N2" s="6" t="s">
        <v>20</v>
      </c>
      <c r="O2" s="7" t="s">
        <v>26</v>
      </c>
      <c r="P2" s="7" t="s">
        <v>27</v>
      </c>
      <c r="Q2" s="7"/>
      <c r="R2" s="7"/>
      <c r="S2" s="6" t="s">
        <v>47</v>
      </c>
      <c r="T2" s="10" t="s">
        <v>45</v>
      </c>
    </row>
    <row r="3" spans="1:23" x14ac:dyDescent="0.25">
      <c r="A3" s="4" t="s">
        <v>16</v>
      </c>
      <c r="B3" t="s">
        <v>4</v>
      </c>
      <c r="C3">
        <v>2010</v>
      </c>
      <c r="D3" t="str">
        <f>'NUHW Money Lost'!D13&amp;" "&amp;'NUHW Money Lost'!E13</f>
        <v xml:space="preserve"> </v>
      </c>
      <c r="E3" s="2" t="str">
        <f t="shared" ref="E3:E14" si="0">B3&amp;" "&amp;$C$3</f>
        <v>January 2010</v>
      </c>
      <c r="F3" s="8">
        <f>$P$6</f>
        <v>28791.306127999997</v>
      </c>
      <c r="G3" s="8">
        <f>F3+$O$7</f>
        <v>42981.605311840001</v>
      </c>
      <c r="H3" s="8" t="e">
        <f>VLOOKUP(D3,E3:F62,2,FALSE)</f>
        <v>#N/A</v>
      </c>
      <c r="I3" s="8" t="e">
        <f>VLOOKUP(D3,E3:G62,3,FALSE)</f>
        <v>#N/A</v>
      </c>
      <c r="J3" s="6">
        <f>IF(OR('NUHW Money Lost'!D9="",'NUHW Money Lost'!D10="",'NUHW Money Lost'!D11=""),"",'Money Lost Calc.(Save)'!J4)</f>
        <v>28791.306127999997</v>
      </c>
      <c r="K3" s="12">
        <f>IF(OR('NUHW Money Lost'!D9="",'NUHW Money Lost'!D10="",'NUHW Money Lost'!D11=""),"",'Money Lost Calc.(Save)'!K4)</f>
        <v>42981.605311840001</v>
      </c>
      <c r="L3" s="12">
        <f>('NUHW Money Lost'!D10*52)*'NUHW Money Lost'!D9</f>
        <v>83200</v>
      </c>
      <c r="M3" s="5" t="s">
        <v>21</v>
      </c>
      <c r="N3" s="8">
        <f>L3*1.035</f>
        <v>86112</v>
      </c>
      <c r="O3" s="8">
        <f>N3-$L$3</f>
        <v>2912</v>
      </c>
      <c r="P3" s="8">
        <f>O3</f>
        <v>2912</v>
      </c>
      <c r="Q3" s="8" t="str">
        <f t="shared" ref="Q3:Q14" si="1">B3</f>
        <v>January</v>
      </c>
      <c r="R3" s="9" t="s">
        <v>32</v>
      </c>
      <c r="S3" s="13" t="str">
        <f>IF(OR('NUHW Money Lost'!D13="",'NUHW Money Lost'!E13="",'NUHW Money Lost'!D11="",'NUHW Money Lost'!D10="",'NUHW Money Lost'!D9=""),"",'Money Lost Calc.(Save)'!J4)</f>
        <v/>
      </c>
      <c r="T3" s="8" t="str">
        <f>IF(OR('NUHW Money Lost'!D13="",'NUHW Money Lost'!E13="",'NUHW Money Lost'!D11="",'NUHW Money Lost'!D10="",'NUHW Money Lost'!D9=""),"",'Money Lost Calc.(Save)'!K3)</f>
        <v/>
      </c>
      <c r="U3" s="8"/>
    </row>
    <row r="4" spans="1:23" x14ac:dyDescent="0.25">
      <c r="A4" t="s">
        <v>17</v>
      </c>
      <c r="B4" s="3" t="s">
        <v>55</v>
      </c>
      <c r="C4">
        <v>2011</v>
      </c>
      <c r="D4" t="str">
        <f>D3</f>
        <v xml:space="preserve"> </v>
      </c>
      <c r="E4" s="2" t="str">
        <f t="shared" si="0"/>
        <v>Febuary 2010</v>
      </c>
      <c r="F4" s="8">
        <f t="shared" ref="F4:F12" si="2">$P$6</f>
        <v>28791.306127999997</v>
      </c>
      <c r="G4" s="8">
        <f t="shared" ref="G4:G60" si="3">F4+$O$7</f>
        <v>42981.605311840001</v>
      </c>
      <c r="J4" s="8">
        <f>IF('NUHW Money Lost'!D11="Yes",P6,H3)</f>
        <v>28791.306127999997</v>
      </c>
      <c r="K4" s="8">
        <f>IF('NUHW Money Lost'!D11="Yes",P7,I3)</f>
        <v>42981.605311840001</v>
      </c>
      <c r="L4" s="8"/>
      <c r="M4" s="5" t="s">
        <v>22</v>
      </c>
      <c r="N4" s="8">
        <f>N3*1.035</f>
        <v>89125.92</v>
      </c>
      <c r="O4" s="8">
        <f t="shared" ref="O4:O7" si="4">N4-$L$3</f>
        <v>5925.9199999999983</v>
      </c>
      <c r="P4" s="8">
        <f>O4+P3</f>
        <v>8837.9199999999983</v>
      </c>
      <c r="Q4" s="8" t="str">
        <f t="shared" si="1"/>
        <v>Febuary</v>
      </c>
      <c r="R4" s="9" t="s">
        <v>33</v>
      </c>
      <c r="S4" s="8"/>
      <c r="T4" s="8"/>
      <c r="U4" s="8"/>
    </row>
    <row r="5" spans="1:23" x14ac:dyDescent="0.25">
      <c r="B5" s="3" t="s">
        <v>5</v>
      </c>
      <c r="C5">
        <v>2012</v>
      </c>
      <c r="E5" s="2" t="str">
        <f t="shared" si="0"/>
        <v>March 2010</v>
      </c>
      <c r="F5" s="8">
        <f t="shared" si="2"/>
        <v>28791.306127999997</v>
      </c>
      <c r="G5" s="8">
        <f t="shared" si="3"/>
        <v>42981.605311840001</v>
      </c>
      <c r="M5" s="5" t="s">
        <v>23</v>
      </c>
      <c r="N5" s="8">
        <f>N4*1.03</f>
        <v>91799.6976</v>
      </c>
      <c r="O5" s="8">
        <f t="shared" si="4"/>
        <v>8599.6975999999995</v>
      </c>
      <c r="P5" s="8">
        <f t="shared" ref="P5:P7" si="5">O5+P4</f>
        <v>17437.617599999998</v>
      </c>
      <c r="Q5" s="8" t="str">
        <f t="shared" si="1"/>
        <v>March</v>
      </c>
      <c r="R5" s="9" t="s">
        <v>34</v>
      </c>
      <c r="S5" s="8"/>
    </row>
    <row r="6" spans="1:23" x14ac:dyDescent="0.25">
      <c r="B6" s="3" t="s">
        <v>6</v>
      </c>
      <c r="C6">
        <v>2013</v>
      </c>
      <c r="E6" s="2" t="str">
        <f t="shared" si="0"/>
        <v>April 2010</v>
      </c>
      <c r="F6" s="8">
        <f t="shared" si="2"/>
        <v>28791.306127999997</v>
      </c>
      <c r="G6" s="8">
        <f t="shared" si="3"/>
        <v>42981.605311840001</v>
      </c>
      <c r="M6" s="5" t="s">
        <v>24</v>
      </c>
      <c r="N6" s="8">
        <f>N5*1.03</f>
        <v>94553.688527999999</v>
      </c>
      <c r="O6" s="8">
        <f t="shared" si="4"/>
        <v>11353.688527999999</v>
      </c>
      <c r="P6" s="8">
        <f t="shared" si="5"/>
        <v>28791.306127999997</v>
      </c>
      <c r="Q6" s="8" t="str">
        <f t="shared" si="1"/>
        <v>April</v>
      </c>
      <c r="R6" s="9" t="s">
        <v>35</v>
      </c>
    </row>
    <row r="7" spans="1:23" x14ac:dyDescent="0.25">
      <c r="A7" t="str">
        <f>'NUHW Money Lost'!D11</f>
        <v>Yes</v>
      </c>
      <c r="B7" s="3" t="s">
        <v>7</v>
      </c>
      <c r="C7">
        <v>2014</v>
      </c>
      <c r="E7" s="2" t="str">
        <f t="shared" si="0"/>
        <v>May 2010</v>
      </c>
      <c r="F7" s="8">
        <f t="shared" si="2"/>
        <v>28791.306127999997</v>
      </c>
      <c r="G7" s="8">
        <f t="shared" si="3"/>
        <v>42981.605311840001</v>
      </c>
      <c r="H7" s="8"/>
      <c r="M7" s="5" t="s">
        <v>25</v>
      </c>
      <c r="N7" s="8">
        <f>N6*1.03</f>
        <v>97390.299183840005</v>
      </c>
      <c r="O7" s="8">
        <f t="shared" si="4"/>
        <v>14190.299183840005</v>
      </c>
      <c r="P7" s="8">
        <f t="shared" si="5"/>
        <v>42981.605311840001</v>
      </c>
      <c r="Q7" s="8" t="str">
        <f t="shared" si="1"/>
        <v>May</v>
      </c>
      <c r="R7" s="9" t="s">
        <v>36</v>
      </c>
    </row>
    <row r="8" spans="1:23" x14ac:dyDescent="0.25">
      <c r="B8" s="3" t="s">
        <v>8</v>
      </c>
      <c r="E8" s="2" t="str">
        <f t="shared" si="0"/>
        <v>June 2010</v>
      </c>
      <c r="F8" s="8">
        <f t="shared" si="2"/>
        <v>28791.306127999997</v>
      </c>
      <c r="G8" s="8">
        <f t="shared" si="3"/>
        <v>42981.605311840001</v>
      </c>
      <c r="Q8" s="8" t="str">
        <f t="shared" si="1"/>
        <v>June</v>
      </c>
      <c r="R8" s="9" t="s">
        <v>37</v>
      </c>
    </row>
    <row r="9" spans="1:23" x14ac:dyDescent="0.25">
      <c r="B9" s="3" t="s">
        <v>9</v>
      </c>
      <c r="E9" s="2" t="str">
        <f t="shared" si="0"/>
        <v>July 2010</v>
      </c>
      <c r="F9" s="8">
        <f t="shared" si="2"/>
        <v>28791.306127999997</v>
      </c>
      <c r="G9" s="8">
        <f t="shared" si="3"/>
        <v>42981.605311840001</v>
      </c>
      <c r="Q9" s="8" t="str">
        <f t="shared" si="1"/>
        <v>July</v>
      </c>
      <c r="R9" s="9" t="s">
        <v>38</v>
      </c>
    </row>
    <row r="10" spans="1:23" x14ac:dyDescent="0.25">
      <c r="B10" s="3" t="s">
        <v>10</v>
      </c>
      <c r="E10" s="2" t="str">
        <f t="shared" si="0"/>
        <v>August 2010</v>
      </c>
      <c r="F10" s="8">
        <f t="shared" si="2"/>
        <v>28791.306127999997</v>
      </c>
      <c r="G10" s="8">
        <f t="shared" si="3"/>
        <v>42981.605311840001</v>
      </c>
      <c r="Q10" s="8" t="str">
        <f t="shared" si="1"/>
        <v>August</v>
      </c>
      <c r="R10" s="9" t="s">
        <v>39</v>
      </c>
    </row>
    <row r="11" spans="1:23" x14ac:dyDescent="0.25">
      <c r="B11" s="3" t="s">
        <v>11</v>
      </c>
      <c r="E11" s="2" t="str">
        <f t="shared" si="0"/>
        <v>September 2010</v>
      </c>
      <c r="F11" s="8">
        <f t="shared" si="2"/>
        <v>28791.306127999997</v>
      </c>
      <c r="G11" s="8">
        <f t="shared" si="3"/>
        <v>42981.605311840001</v>
      </c>
      <c r="Q11" s="8" t="str">
        <f t="shared" si="1"/>
        <v>September</v>
      </c>
      <c r="R11" s="9" t="s">
        <v>40</v>
      </c>
    </row>
    <row r="12" spans="1:23" x14ac:dyDescent="0.25">
      <c r="B12" s="3" t="s">
        <v>12</v>
      </c>
      <c r="E12" s="2" t="str">
        <f t="shared" si="0"/>
        <v>October 2010</v>
      </c>
      <c r="F12" s="8">
        <f t="shared" si="2"/>
        <v>28791.306127999997</v>
      </c>
      <c r="G12" s="8">
        <f t="shared" si="3"/>
        <v>42981.605311840001</v>
      </c>
      <c r="Q12" s="8" t="str">
        <f t="shared" si="1"/>
        <v>October</v>
      </c>
      <c r="R12" s="9" t="s">
        <v>29</v>
      </c>
    </row>
    <row r="13" spans="1:23" x14ac:dyDescent="0.25">
      <c r="B13" s="3" t="s">
        <v>13</v>
      </c>
      <c r="E13" s="2" t="str">
        <f t="shared" si="0"/>
        <v>November 2010</v>
      </c>
      <c r="F13" s="8">
        <f>SUM($O$4:$O$6)+($O$3*(11/12))</f>
        <v>28548.639461333329</v>
      </c>
      <c r="G13" s="8">
        <f t="shared" si="3"/>
        <v>42738.93864517333</v>
      </c>
      <c r="Q13" s="8" t="str">
        <f t="shared" si="1"/>
        <v>November</v>
      </c>
      <c r="R13" s="9" t="s">
        <v>30</v>
      </c>
    </row>
    <row r="14" spans="1:23" x14ac:dyDescent="0.25">
      <c r="B14" s="3" t="s">
        <v>14</v>
      </c>
      <c r="E14" s="2" t="str">
        <f t="shared" si="0"/>
        <v>December 2010</v>
      </c>
      <c r="F14" s="8">
        <f>SUM($O$4:$O$6)+($O$3*(10/12))</f>
        <v>28305.972794666664</v>
      </c>
      <c r="G14" s="8">
        <f t="shared" si="3"/>
        <v>42496.271978506673</v>
      </c>
      <c r="Q14" s="8" t="str">
        <f t="shared" si="1"/>
        <v>December</v>
      </c>
      <c r="R14" s="9" t="s">
        <v>31</v>
      </c>
    </row>
    <row r="15" spans="1:23" x14ac:dyDescent="0.25">
      <c r="E15" s="2" t="str">
        <f t="shared" ref="E15:E26" si="6">B3&amp;" "&amp;$C$4</f>
        <v>January 2011</v>
      </c>
      <c r="F15" s="8">
        <f>SUM($O$4:$O$6)+($O$3*(9/12))</f>
        <v>28063.306127999997</v>
      </c>
      <c r="G15" s="8">
        <f t="shared" si="3"/>
        <v>42253.605311840001</v>
      </c>
      <c r="Q15" s="8"/>
    </row>
    <row r="16" spans="1:23" x14ac:dyDescent="0.25">
      <c r="B16" s="3"/>
      <c r="C16" s="3"/>
      <c r="D16" s="3"/>
      <c r="E16" s="2" t="str">
        <f t="shared" si="6"/>
        <v>Febuary 2011</v>
      </c>
      <c r="F16" s="8">
        <f>SUM($O$4:$O$6)+($O$3*(8/12))</f>
        <v>27820.639461333329</v>
      </c>
      <c r="G16" s="8">
        <f t="shared" si="3"/>
        <v>42010.93864517333</v>
      </c>
    </row>
    <row r="17" spans="1:7" x14ac:dyDescent="0.25">
      <c r="B17" s="3"/>
      <c r="C17" s="3"/>
      <c r="D17" s="3"/>
      <c r="E17" s="2" t="str">
        <f t="shared" si="6"/>
        <v>March 2011</v>
      </c>
      <c r="F17" s="8">
        <f>SUM($O$4:$O$6)+($O$3*(7/12))</f>
        <v>27577.972794666664</v>
      </c>
      <c r="G17" s="8">
        <f t="shared" si="3"/>
        <v>41768.271978506673</v>
      </c>
    </row>
    <row r="18" spans="1:7" x14ac:dyDescent="0.25">
      <c r="B18" s="3"/>
      <c r="C18" s="3"/>
      <c r="D18" s="3"/>
      <c r="E18" s="2" t="str">
        <f t="shared" si="6"/>
        <v>April 2011</v>
      </c>
      <c r="F18" s="8">
        <f>SUM($O$4:$O$6)+($O$3*(6/12))</f>
        <v>27335.306127999997</v>
      </c>
      <c r="G18" s="8">
        <f t="shared" si="3"/>
        <v>41525.605311840001</v>
      </c>
    </row>
    <row r="19" spans="1:7" x14ac:dyDescent="0.25">
      <c r="A19" s="153" t="s">
        <v>58</v>
      </c>
      <c r="B19" s="153"/>
      <c r="C19" s="153"/>
      <c r="D19" s="3"/>
      <c r="E19" s="2" t="str">
        <f t="shared" si="6"/>
        <v>May 2011</v>
      </c>
      <c r="F19" s="8">
        <f>SUM($O$4:$O$6)+($O$3*(5/12))</f>
        <v>27092.639461333329</v>
      </c>
      <c r="G19" s="8">
        <f t="shared" si="3"/>
        <v>41282.93864517333</v>
      </c>
    </row>
    <row r="20" spans="1:7" x14ac:dyDescent="0.25">
      <c r="A20" s="153"/>
      <c r="B20" s="153"/>
      <c r="C20" s="153"/>
      <c r="D20" s="3"/>
      <c r="E20" s="2" t="str">
        <f t="shared" si="6"/>
        <v>June 2011</v>
      </c>
      <c r="F20" s="8">
        <f>SUM($O$4:$O$6)+($O$3*(4/12))</f>
        <v>26849.972794666664</v>
      </c>
      <c r="G20" s="8">
        <f t="shared" si="3"/>
        <v>41040.271978506673</v>
      </c>
    </row>
    <row r="21" spans="1:7" x14ac:dyDescent="0.25">
      <c r="A21" s="153"/>
      <c r="B21" s="153"/>
      <c r="C21" s="153"/>
      <c r="D21" s="3"/>
      <c r="E21" s="2" t="str">
        <f t="shared" si="6"/>
        <v>July 2011</v>
      </c>
      <c r="F21" s="8">
        <f>SUM($O$4:$O$6)+($O$3*(3/12))</f>
        <v>26607.306127999997</v>
      </c>
      <c r="G21" s="8">
        <f t="shared" si="3"/>
        <v>40797.605311840001</v>
      </c>
    </row>
    <row r="22" spans="1:7" x14ac:dyDescent="0.25">
      <c r="B22" s="3"/>
      <c r="C22" s="3"/>
      <c r="D22" s="3"/>
      <c r="E22" s="2" t="str">
        <f t="shared" si="6"/>
        <v>August 2011</v>
      </c>
      <c r="F22" s="8">
        <f>SUM($O$4:$O$6)+($O$3*(2/12))</f>
        <v>26364.639461333329</v>
      </c>
      <c r="G22" s="8">
        <f t="shared" si="3"/>
        <v>40554.93864517333</v>
      </c>
    </row>
    <row r="23" spans="1:7" x14ac:dyDescent="0.25">
      <c r="A23" t="str">
        <f>IF('NUHW Money Lost'!D16="","___",IF(A7="Yes","October 2010",D3))</f>
        <v>October 2010</v>
      </c>
      <c r="B23" s="3"/>
      <c r="C23" s="3"/>
      <c r="D23" s="3"/>
      <c r="E23" s="2" t="str">
        <f t="shared" si="6"/>
        <v>September 2011</v>
      </c>
      <c r="F23" s="8">
        <f>SUM($O$4:$O$6)+($O$3*(1/12))</f>
        <v>26121.972794666664</v>
      </c>
      <c r="G23" s="8">
        <f t="shared" si="3"/>
        <v>40312.271978506673</v>
      </c>
    </row>
    <row r="24" spans="1:7" x14ac:dyDescent="0.25">
      <c r="B24" s="3"/>
      <c r="C24" s="3"/>
      <c r="D24" s="3"/>
      <c r="E24" s="2" t="str">
        <f t="shared" si="6"/>
        <v>October 2011</v>
      </c>
      <c r="F24" s="8">
        <f>SUM($O$5:$O$6)+($O$4*(12/12))</f>
        <v>25879.306127999997</v>
      </c>
      <c r="G24" s="8">
        <f t="shared" si="3"/>
        <v>40069.605311840001</v>
      </c>
    </row>
    <row r="25" spans="1:7" x14ac:dyDescent="0.25">
      <c r="A25" s="153" t="s">
        <v>54</v>
      </c>
      <c r="B25" s="153"/>
      <c r="C25" s="153"/>
      <c r="D25" s="3"/>
      <c r="E25" s="2" t="str">
        <f t="shared" si="6"/>
        <v>November 2011</v>
      </c>
      <c r="F25" s="8">
        <f>SUM($O$5:$O$6)+($O$4*(11/12))</f>
        <v>25385.479461333329</v>
      </c>
      <c r="G25" s="8">
        <f t="shared" si="3"/>
        <v>39575.778645173334</v>
      </c>
    </row>
    <row r="26" spans="1:7" x14ac:dyDescent="0.25">
      <c r="A26" s="153"/>
      <c r="B26" s="153"/>
      <c r="C26" s="153"/>
      <c r="D26" s="3"/>
      <c r="E26" s="2" t="str">
        <f t="shared" si="6"/>
        <v>December 2011</v>
      </c>
      <c r="F26" s="8">
        <f>SUM($O$5:$O$6)+($O$4*(10/12))</f>
        <v>24891.652794666665</v>
      </c>
      <c r="G26" s="8">
        <f t="shared" si="3"/>
        <v>39081.951978506666</v>
      </c>
    </row>
    <row r="27" spans="1:7" x14ac:dyDescent="0.25">
      <c r="A27" s="153"/>
      <c r="B27" s="153"/>
      <c r="C27" s="153"/>
      <c r="D27" s="3"/>
      <c r="E27" s="2" t="str">
        <f t="shared" ref="E27:E38" si="7">B3&amp;" "&amp;$C$5</f>
        <v>January 2012</v>
      </c>
      <c r="F27" s="8">
        <f>SUM($O$5:$O$6)+($O$4*(9/12))</f>
        <v>24397.826127999997</v>
      </c>
      <c r="G27" s="8">
        <f t="shared" si="3"/>
        <v>38588.125311840005</v>
      </c>
    </row>
    <row r="28" spans="1:7" x14ac:dyDescent="0.25">
      <c r="B28" s="3"/>
      <c r="C28" s="3"/>
      <c r="D28" s="3"/>
      <c r="E28" s="2" t="str">
        <f t="shared" si="7"/>
        <v>Febuary 2012</v>
      </c>
      <c r="F28" s="8">
        <f>SUM($O$5:$O$6)+($O$4*(8/12))</f>
        <v>23903.999461333329</v>
      </c>
      <c r="G28" s="8">
        <f t="shared" si="3"/>
        <v>38094.29864517333</v>
      </c>
    </row>
    <row r="29" spans="1:7" x14ac:dyDescent="0.25">
      <c r="A29" s="153" t="str">
        <f>A19&amp;A23&amp;A25</f>
        <v>Here is an estimate of how much more you would have been paid in total between October 2010 and September 2014, if you had been a UNAC/UHCP RN:</v>
      </c>
      <c r="B29" s="153"/>
      <c r="C29" s="153"/>
      <c r="D29" s="3"/>
      <c r="E29" s="2" t="str">
        <f t="shared" si="7"/>
        <v>March 2012</v>
      </c>
      <c r="F29" s="8">
        <f>SUM($O$5:$O$6)+($O$4*(7/12))</f>
        <v>23410.172794666665</v>
      </c>
      <c r="G29" s="8">
        <f t="shared" si="3"/>
        <v>37600.47197850667</v>
      </c>
    </row>
    <row r="30" spans="1:7" x14ac:dyDescent="0.25">
      <c r="A30" s="153"/>
      <c r="B30" s="153"/>
      <c r="C30" s="153"/>
      <c r="D30" s="3"/>
      <c r="E30" s="2" t="str">
        <f t="shared" si="7"/>
        <v>April 2012</v>
      </c>
      <c r="F30" s="8">
        <f>SUM($O$5:$O$6)+($O$4*(6/12))</f>
        <v>22916.346127999997</v>
      </c>
      <c r="G30" s="8">
        <f t="shared" si="3"/>
        <v>37106.645311840002</v>
      </c>
    </row>
    <row r="31" spans="1:7" x14ac:dyDescent="0.25">
      <c r="A31" s="153"/>
      <c r="B31" s="153"/>
      <c r="C31" s="153"/>
      <c r="D31" s="3"/>
      <c r="E31" s="2" t="str">
        <f t="shared" si="7"/>
        <v>May 2012</v>
      </c>
      <c r="F31" s="8">
        <f>SUM($O$5:$O$6)+($O$4*(5/12))</f>
        <v>22422.51946133333</v>
      </c>
      <c r="G31" s="8">
        <f t="shared" si="3"/>
        <v>36612.818645173335</v>
      </c>
    </row>
    <row r="32" spans="1:7" x14ac:dyDescent="0.25">
      <c r="A32" s="153"/>
      <c r="B32" s="153"/>
      <c r="C32" s="153"/>
      <c r="D32" s="3"/>
      <c r="E32" s="2" t="str">
        <f t="shared" si="7"/>
        <v>June 2012</v>
      </c>
      <c r="F32" s="8">
        <f>SUM($O$5:$O$6)+($O$4*(4/12))</f>
        <v>21928.692794666666</v>
      </c>
      <c r="G32" s="8">
        <f t="shared" si="3"/>
        <v>36118.991978506674</v>
      </c>
    </row>
    <row r="33" spans="1:7" x14ac:dyDescent="0.25">
      <c r="A33" s="153"/>
      <c r="B33" s="153"/>
      <c r="C33" s="153"/>
      <c r="D33" s="3"/>
      <c r="E33" s="2" t="str">
        <f t="shared" si="7"/>
        <v>July 2012</v>
      </c>
      <c r="F33" s="8">
        <f>SUM($O$5:$O$6)+($O$4*(3/12))</f>
        <v>21434.866127999998</v>
      </c>
      <c r="G33" s="8">
        <f t="shared" si="3"/>
        <v>35625.165311839999</v>
      </c>
    </row>
    <row r="34" spans="1:7" x14ac:dyDescent="0.25">
      <c r="A34" s="153"/>
      <c r="B34" s="153"/>
      <c r="C34" s="153"/>
      <c r="D34" s="3"/>
      <c r="E34" s="2" t="str">
        <f t="shared" si="7"/>
        <v>August 2012</v>
      </c>
      <c r="F34" s="8">
        <f>SUM($O$5:$O$6)+($O$4*(2/12))</f>
        <v>20941.03946133333</v>
      </c>
      <c r="G34" s="8">
        <f t="shared" si="3"/>
        <v>35131.338645173339</v>
      </c>
    </row>
    <row r="35" spans="1:7" x14ac:dyDescent="0.25">
      <c r="A35" s="153"/>
      <c r="B35" s="153"/>
      <c r="C35" s="153"/>
      <c r="D35" s="3"/>
      <c r="E35" s="2" t="str">
        <f t="shared" si="7"/>
        <v>September 2012</v>
      </c>
      <c r="F35" s="8">
        <f>SUM($O$5:$O$6)+($O$4*(1/12))</f>
        <v>20447.212794666666</v>
      </c>
      <c r="G35" s="8">
        <f t="shared" si="3"/>
        <v>34637.511978506671</v>
      </c>
    </row>
    <row r="36" spans="1:7" x14ac:dyDescent="0.25">
      <c r="A36" s="153"/>
      <c r="B36" s="153"/>
      <c r="C36" s="153"/>
      <c r="D36" s="3"/>
      <c r="E36" s="2" t="str">
        <f t="shared" si="7"/>
        <v>October 2012</v>
      </c>
      <c r="F36" s="8">
        <f>$O$6+($O$5*(12/12))</f>
        <v>19953.386127999998</v>
      </c>
      <c r="G36" s="8">
        <f t="shared" si="3"/>
        <v>34143.685311840003</v>
      </c>
    </row>
    <row r="37" spans="1:7" x14ac:dyDescent="0.25">
      <c r="A37" s="153"/>
      <c r="B37" s="153"/>
      <c r="C37" s="153"/>
      <c r="D37" s="3"/>
      <c r="E37" s="2" t="str">
        <f t="shared" si="7"/>
        <v>November 2012</v>
      </c>
      <c r="F37" s="8">
        <f>$O$6+($O$5*(11/12))</f>
        <v>19236.74466133333</v>
      </c>
      <c r="G37" s="8">
        <f t="shared" si="3"/>
        <v>33427.043845173335</v>
      </c>
    </row>
    <row r="38" spans="1:7" x14ac:dyDescent="0.25">
      <c r="B38" s="3"/>
      <c r="C38" s="3"/>
      <c r="D38" s="3"/>
      <c r="E38" s="2" t="str">
        <f t="shared" si="7"/>
        <v>December 2012</v>
      </c>
      <c r="F38" s="8">
        <f>$O$6+($O$5*(10/12))</f>
        <v>18520.103194666666</v>
      </c>
      <c r="G38" s="8">
        <f t="shared" si="3"/>
        <v>32710.402378506671</v>
      </c>
    </row>
    <row r="39" spans="1:7" x14ac:dyDescent="0.25">
      <c r="B39" s="3"/>
      <c r="C39" s="3"/>
      <c r="D39" s="3"/>
      <c r="E39" s="2" t="str">
        <f t="shared" ref="E39:E50" si="8">B3&amp;" "&amp;$C$6</f>
        <v>January 2013</v>
      </c>
      <c r="F39" s="8">
        <f>$O$6+($O$5*(9/12))</f>
        <v>17803.461727999998</v>
      </c>
      <c r="G39" s="8">
        <f t="shared" si="3"/>
        <v>31993.760911840003</v>
      </c>
    </row>
    <row r="40" spans="1:7" x14ac:dyDescent="0.25">
      <c r="B40" s="3"/>
      <c r="C40" s="3"/>
      <c r="D40" s="3"/>
      <c r="E40" s="2" t="str">
        <f t="shared" si="8"/>
        <v>Febuary 2013</v>
      </c>
      <c r="F40" s="8">
        <f>$O$6+($O$5*(8/12))</f>
        <v>17086.820261333331</v>
      </c>
      <c r="G40" s="8">
        <f t="shared" si="3"/>
        <v>31277.119445173335</v>
      </c>
    </row>
    <row r="41" spans="1:7" x14ac:dyDescent="0.25">
      <c r="B41" s="3"/>
      <c r="C41" s="3"/>
      <c r="D41" s="3"/>
      <c r="E41" s="2" t="str">
        <f t="shared" si="8"/>
        <v>March 2013</v>
      </c>
      <c r="F41" s="8">
        <f>$O$6+($O$5*(7/12))</f>
        <v>16370.178794666666</v>
      </c>
      <c r="G41" s="8">
        <f t="shared" si="3"/>
        <v>30560.477978506671</v>
      </c>
    </row>
    <row r="42" spans="1:7" x14ac:dyDescent="0.25">
      <c r="B42" s="3"/>
      <c r="C42" s="3"/>
      <c r="D42" s="3"/>
      <c r="E42" s="2" t="str">
        <f t="shared" si="8"/>
        <v>April 2013</v>
      </c>
      <c r="F42" s="8">
        <f>$O$6+($O$5*(6/12))</f>
        <v>15653.537327999999</v>
      </c>
      <c r="G42" s="8">
        <f t="shared" si="3"/>
        <v>29843.836511840003</v>
      </c>
    </row>
    <row r="43" spans="1:7" x14ac:dyDescent="0.25">
      <c r="B43" s="3"/>
      <c r="C43" s="3"/>
      <c r="D43" s="3"/>
      <c r="E43" s="2" t="str">
        <f t="shared" si="8"/>
        <v>May 2013</v>
      </c>
      <c r="F43" s="8">
        <f>$O$6+($O$5*(5/12))</f>
        <v>14936.895861333333</v>
      </c>
      <c r="G43" s="8">
        <f t="shared" si="3"/>
        <v>29127.195045173336</v>
      </c>
    </row>
    <row r="44" spans="1:7" x14ac:dyDescent="0.25">
      <c r="B44" s="3"/>
      <c r="C44" s="3"/>
      <c r="D44" s="3"/>
      <c r="E44" s="2" t="str">
        <f t="shared" si="8"/>
        <v>June 2013</v>
      </c>
      <c r="F44" s="8">
        <f>$O$6+($O$5*(4/12))</f>
        <v>14220.254394666665</v>
      </c>
      <c r="G44" s="8">
        <f t="shared" si="3"/>
        <v>28410.553578506668</v>
      </c>
    </row>
    <row r="45" spans="1:7" x14ac:dyDescent="0.25">
      <c r="B45" s="3"/>
      <c r="C45" s="3"/>
      <c r="D45" s="3"/>
      <c r="E45" s="2" t="str">
        <f t="shared" si="8"/>
        <v>July 2013</v>
      </c>
      <c r="F45" s="8">
        <f>$O$6+($O$5*(3/12))</f>
        <v>13503.612927999999</v>
      </c>
      <c r="G45" s="8">
        <f t="shared" si="3"/>
        <v>27693.912111840003</v>
      </c>
    </row>
    <row r="46" spans="1:7" x14ac:dyDescent="0.25">
      <c r="B46" s="3"/>
      <c r="C46" s="3"/>
      <c r="D46" s="3"/>
      <c r="E46" s="2" t="str">
        <f t="shared" si="8"/>
        <v>August 2013</v>
      </c>
      <c r="F46" s="8">
        <f>$O$6+($O$5*(2/12))</f>
        <v>12786.971461333333</v>
      </c>
      <c r="G46" s="8">
        <f t="shared" si="3"/>
        <v>26977.270645173339</v>
      </c>
    </row>
    <row r="47" spans="1:7" x14ac:dyDescent="0.25">
      <c r="B47" s="3"/>
      <c r="C47" s="3"/>
      <c r="D47" s="3"/>
      <c r="E47" s="2" t="str">
        <f t="shared" si="8"/>
        <v>September 2013</v>
      </c>
      <c r="F47" s="8">
        <f>$O$6+($O$5*(1/12))</f>
        <v>12070.329994666665</v>
      </c>
      <c r="G47" s="8">
        <f t="shared" si="3"/>
        <v>26260.629178506671</v>
      </c>
    </row>
    <row r="48" spans="1:7" x14ac:dyDescent="0.25">
      <c r="B48" s="3"/>
      <c r="C48" s="3"/>
      <c r="D48" s="3"/>
      <c r="E48" s="2" t="str">
        <f t="shared" si="8"/>
        <v>October 2013</v>
      </c>
      <c r="F48" s="8">
        <f>$O$6*(12/12)</f>
        <v>11353.688527999999</v>
      </c>
      <c r="G48" s="8">
        <f t="shared" si="3"/>
        <v>25543.987711840004</v>
      </c>
    </row>
    <row r="49" spans="2:7" x14ac:dyDescent="0.25">
      <c r="B49" s="3"/>
      <c r="C49" s="3"/>
      <c r="D49" s="3"/>
      <c r="E49" s="2" t="str">
        <f t="shared" si="8"/>
        <v>November 2013</v>
      </c>
      <c r="F49" s="8">
        <f>$O$6*(11/12)</f>
        <v>10407.547817333332</v>
      </c>
      <c r="G49" s="8">
        <f t="shared" si="3"/>
        <v>24597.847001173337</v>
      </c>
    </row>
    <row r="50" spans="2:7" x14ac:dyDescent="0.25">
      <c r="B50" s="3"/>
      <c r="C50" s="3"/>
      <c r="D50" s="3"/>
      <c r="E50" s="2" t="str">
        <f t="shared" si="8"/>
        <v>December 2013</v>
      </c>
      <c r="F50" s="8">
        <f>$O$6*(10/12)</f>
        <v>9461.4071066666656</v>
      </c>
      <c r="G50" s="8">
        <f t="shared" si="3"/>
        <v>23651.70629050667</v>
      </c>
    </row>
    <row r="51" spans="2:7" x14ac:dyDescent="0.25">
      <c r="B51" s="3"/>
      <c r="C51" s="3"/>
      <c r="D51" s="3"/>
      <c r="E51" s="2" t="str">
        <f>B3&amp;" "&amp;$C$7</f>
        <v>January 2014</v>
      </c>
      <c r="F51" s="8">
        <f>$O$6*(9/12)</f>
        <v>8515.2663959999991</v>
      </c>
      <c r="G51" s="8">
        <f t="shared" si="3"/>
        <v>22705.565579840004</v>
      </c>
    </row>
    <row r="52" spans="2:7" x14ac:dyDescent="0.25">
      <c r="B52" s="3"/>
      <c r="C52" s="3"/>
      <c r="D52" s="3"/>
      <c r="E52" s="2" t="str">
        <f t="shared" ref="E52:E62" si="9">B4&amp;" "&amp;$C$7</f>
        <v>Febuary 2014</v>
      </c>
      <c r="F52" s="8">
        <f>$O$6*(8/12)</f>
        <v>7569.1256853333325</v>
      </c>
      <c r="G52" s="8">
        <f t="shared" si="3"/>
        <v>21759.424869173337</v>
      </c>
    </row>
    <row r="53" spans="2:7" x14ac:dyDescent="0.25">
      <c r="B53" s="3"/>
      <c r="C53" s="3"/>
      <c r="D53" s="3"/>
      <c r="E53" s="2" t="str">
        <f t="shared" si="9"/>
        <v>March 2014</v>
      </c>
      <c r="F53" s="8">
        <f>$O$6*(7/12)</f>
        <v>6622.9849746666659</v>
      </c>
      <c r="G53" s="8">
        <f t="shared" si="3"/>
        <v>20813.284158506671</v>
      </c>
    </row>
    <row r="54" spans="2:7" x14ac:dyDescent="0.25">
      <c r="B54" s="3"/>
      <c r="C54" s="3"/>
      <c r="D54" s="3"/>
      <c r="E54" s="2" t="str">
        <f t="shared" si="9"/>
        <v>April 2014</v>
      </c>
      <c r="F54" s="8">
        <f>$O$6*(6/12)</f>
        <v>5676.8442639999994</v>
      </c>
      <c r="G54" s="8">
        <f t="shared" si="3"/>
        <v>19867.143447840004</v>
      </c>
    </row>
    <row r="55" spans="2:7" x14ac:dyDescent="0.25">
      <c r="B55" s="3"/>
      <c r="C55" s="3"/>
      <c r="D55" s="3"/>
      <c r="E55" s="2" t="str">
        <f t="shared" si="9"/>
        <v>May 2014</v>
      </c>
      <c r="F55" s="8">
        <f>$O$6*(5/12)</f>
        <v>4730.7035533333328</v>
      </c>
      <c r="G55" s="8">
        <f t="shared" si="3"/>
        <v>18921.002737173338</v>
      </c>
    </row>
    <row r="56" spans="2:7" x14ac:dyDescent="0.25">
      <c r="B56" s="3"/>
      <c r="C56" s="3"/>
      <c r="D56" s="3"/>
      <c r="E56" s="2" t="str">
        <f t="shared" si="9"/>
        <v>June 2014</v>
      </c>
      <c r="F56" s="8">
        <f>$O$6*(4/12)</f>
        <v>3784.5628426666663</v>
      </c>
      <c r="G56" s="8">
        <f t="shared" si="3"/>
        <v>17974.862026506671</v>
      </c>
    </row>
    <row r="57" spans="2:7" x14ac:dyDescent="0.25">
      <c r="B57" s="3"/>
      <c r="C57" s="3"/>
      <c r="D57" s="3"/>
      <c r="E57" s="2" t="str">
        <f t="shared" si="9"/>
        <v>July 2014</v>
      </c>
      <c r="F57" s="8">
        <f>$O$6*(3/12)</f>
        <v>2838.4221319999997</v>
      </c>
      <c r="G57" s="8">
        <f t="shared" si="3"/>
        <v>17028.721315840005</v>
      </c>
    </row>
    <row r="58" spans="2:7" x14ac:dyDescent="0.25">
      <c r="B58" s="3"/>
      <c r="C58" s="3"/>
      <c r="D58" s="3"/>
      <c r="E58" s="2" t="str">
        <f t="shared" si="9"/>
        <v>August 2014</v>
      </c>
      <c r="F58" s="8">
        <f>$O$6*(2/12)</f>
        <v>1892.2814213333331</v>
      </c>
      <c r="G58" s="8">
        <f t="shared" si="3"/>
        <v>16082.580605173338</v>
      </c>
    </row>
    <row r="59" spans="2:7" x14ac:dyDescent="0.25">
      <c r="B59" s="3"/>
      <c r="C59" s="3"/>
      <c r="D59" s="3"/>
      <c r="E59" s="2" t="str">
        <f t="shared" si="9"/>
        <v>September 2014</v>
      </c>
      <c r="F59" s="8">
        <f>$O$6*(1/12)</f>
        <v>946.14071066666656</v>
      </c>
      <c r="G59" s="8">
        <f t="shared" si="3"/>
        <v>15136.439894506671</v>
      </c>
    </row>
    <row r="60" spans="2:7" x14ac:dyDescent="0.25">
      <c r="B60" s="3"/>
      <c r="C60" s="3"/>
      <c r="D60" s="3"/>
      <c r="E60" s="2" t="str">
        <f t="shared" si="9"/>
        <v>October 2014</v>
      </c>
      <c r="F60" s="8">
        <v>0</v>
      </c>
      <c r="G60" s="8">
        <f t="shared" si="3"/>
        <v>14190.299183840005</v>
      </c>
    </row>
    <row r="61" spans="2:7" x14ac:dyDescent="0.25">
      <c r="B61" s="3"/>
      <c r="C61" s="3"/>
      <c r="D61" s="3"/>
      <c r="E61" s="2" t="str">
        <f t="shared" si="9"/>
        <v>November 2014</v>
      </c>
      <c r="F61" s="8">
        <v>0</v>
      </c>
      <c r="G61" s="8">
        <f>F61+($O$7*(11/12))</f>
        <v>13007.774251853338</v>
      </c>
    </row>
    <row r="62" spans="2:7" x14ac:dyDescent="0.25">
      <c r="B62" s="3"/>
      <c r="C62" s="3"/>
      <c r="E62" s="2" t="str">
        <f t="shared" si="9"/>
        <v>December 2014</v>
      </c>
      <c r="F62" s="20">
        <v>0</v>
      </c>
      <c r="G62" s="8">
        <f>F61+($O$7*(10/12))</f>
        <v>11825.249319866671</v>
      </c>
    </row>
  </sheetData>
  <mergeCells count="10">
    <mergeCell ref="A19:C21"/>
    <mergeCell ref="A25:C27"/>
    <mergeCell ref="A29:C37"/>
    <mergeCell ref="V1:W1"/>
    <mergeCell ref="M1:P1"/>
    <mergeCell ref="Q1:R1"/>
    <mergeCell ref="E1:F1"/>
    <mergeCell ref="H1:I1"/>
    <mergeCell ref="J1:K1"/>
    <mergeCell ref="S1:U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E17"/>
  <sheetViews>
    <sheetView topLeftCell="A2" workbookViewId="0">
      <selection activeCell="B3" sqref="B3:E6"/>
    </sheetView>
  </sheetViews>
  <sheetFormatPr defaultColWidth="8.85546875" defaultRowHeight="15" x14ac:dyDescent="0.25"/>
  <cols>
    <col min="1" max="2" width="8.85546875" style="11"/>
    <col min="3" max="3" width="54.7109375" style="11" customWidth="1"/>
    <col min="4" max="4" width="16.42578125" style="11" customWidth="1"/>
    <col min="5" max="5" width="20.85546875" style="11" customWidth="1"/>
    <col min="6" max="16384" width="8.85546875" style="11"/>
  </cols>
  <sheetData>
    <row r="1" spans="2:5" ht="16.149999999999999" customHeight="1" thickBot="1" x14ac:dyDescent="0.3"/>
    <row r="2" spans="2:5" ht="33.6" customHeight="1" x14ac:dyDescent="0.65">
      <c r="B2" s="164" t="s">
        <v>43</v>
      </c>
      <c r="C2" s="165"/>
      <c r="D2" s="165"/>
      <c r="E2" s="166"/>
    </row>
    <row r="3" spans="2:5" ht="14.45" customHeight="1" x14ac:dyDescent="0.25">
      <c r="B3" s="167" t="s">
        <v>56</v>
      </c>
      <c r="C3" s="168"/>
      <c r="D3" s="168"/>
      <c r="E3" s="169"/>
    </row>
    <row r="4" spans="2:5" ht="14.45" customHeight="1" x14ac:dyDescent="0.25">
      <c r="B4" s="170"/>
      <c r="C4" s="171"/>
      <c r="D4" s="171"/>
      <c r="E4" s="172"/>
    </row>
    <row r="5" spans="2:5" ht="14.45" customHeight="1" x14ac:dyDescent="0.25">
      <c r="B5" s="170"/>
      <c r="C5" s="171"/>
      <c r="D5" s="171"/>
      <c r="E5" s="172"/>
    </row>
    <row r="6" spans="2:5" ht="58.9" customHeight="1" thickBot="1" x14ac:dyDescent="0.3">
      <c r="B6" s="173"/>
      <c r="C6" s="174"/>
      <c r="D6" s="174"/>
      <c r="E6" s="175"/>
    </row>
    <row r="7" spans="2:5" ht="15.75" thickBot="1" x14ac:dyDescent="0.3">
      <c r="B7" s="16"/>
      <c r="C7" s="16"/>
      <c r="D7" s="16"/>
      <c r="E7" s="16"/>
    </row>
    <row r="8" spans="2:5" ht="19.5" thickBot="1" x14ac:dyDescent="0.35">
      <c r="B8" s="159" t="s">
        <v>52</v>
      </c>
      <c r="C8" s="159"/>
      <c r="D8" s="159" t="s">
        <v>51</v>
      </c>
      <c r="E8" s="159"/>
    </row>
    <row r="9" spans="2:5" ht="18" thickBot="1" x14ac:dyDescent="0.35">
      <c r="B9" s="184" t="s">
        <v>50</v>
      </c>
      <c r="C9" s="158"/>
      <c r="D9" s="176">
        <v>40</v>
      </c>
      <c r="E9" s="177"/>
    </row>
    <row r="10" spans="2:5" ht="33.6" customHeight="1" thickBot="1" x14ac:dyDescent="0.3">
      <c r="B10" s="184" t="s">
        <v>53</v>
      </c>
      <c r="C10" s="185"/>
      <c r="D10" s="162">
        <v>40</v>
      </c>
      <c r="E10" s="163"/>
    </row>
    <row r="11" spans="2:5" ht="35.450000000000003" customHeight="1" thickBot="1" x14ac:dyDescent="0.35">
      <c r="B11" s="186" t="s">
        <v>183</v>
      </c>
      <c r="C11" s="187"/>
      <c r="D11" s="178" t="s">
        <v>16</v>
      </c>
      <c r="E11" s="179"/>
    </row>
    <row r="12" spans="2:5" ht="17.45" customHeight="1" x14ac:dyDescent="0.3">
      <c r="B12" s="126" t="s">
        <v>184</v>
      </c>
      <c r="C12" s="188"/>
      <c r="D12" s="17" t="s">
        <v>0</v>
      </c>
      <c r="E12" s="15" t="s">
        <v>1</v>
      </c>
    </row>
    <row r="13" spans="2:5" ht="14.45" customHeight="1" x14ac:dyDescent="0.25">
      <c r="B13" s="189"/>
      <c r="C13" s="190"/>
      <c r="D13" s="180"/>
      <c r="E13" s="182"/>
    </row>
    <row r="14" spans="2:5" ht="18" customHeight="1" thickBot="1" x14ac:dyDescent="0.3">
      <c r="B14" s="191"/>
      <c r="C14" s="192"/>
      <c r="D14" s="181"/>
      <c r="E14" s="183"/>
    </row>
    <row r="15" spans="2:5" ht="46.9" customHeight="1" thickBot="1" x14ac:dyDescent="0.6">
      <c r="B15" s="184" t="str">
        <f>'Money Lost Calc.(Save)'!A29</f>
        <v>Here is an estimate of how much more you would have been paid in total between October 2010 and September 2014, if you had been a UNAC/UHCP RN:</v>
      </c>
      <c r="C15" s="158"/>
      <c r="D15" s="160">
        <f>IF(D11="Yes",'Money Lost Calc.(Save)'!J3,'Money Lost Calc.(Save)'!S3)</f>
        <v>28791.306127999997</v>
      </c>
      <c r="E15" s="161"/>
    </row>
    <row r="16" spans="2:5" ht="53.45" customHeight="1" thickBot="1" x14ac:dyDescent="0.6">
      <c r="B16" s="157" t="s">
        <v>57</v>
      </c>
      <c r="C16" s="158"/>
      <c r="D16" s="160">
        <f>IF(D11="Yes",'Money Lost Calc.(Save)'!K3,'Money Lost Calc.(Save)'!T3)</f>
        <v>42981.605311840001</v>
      </c>
      <c r="E16" s="161"/>
    </row>
    <row r="17" spans="3:5" ht="23.45" customHeight="1" x14ac:dyDescent="0.7">
      <c r="C17" s="14"/>
      <c r="D17" s="18"/>
      <c r="E17" s="19"/>
    </row>
  </sheetData>
  <mergeCells count="17">
    <mergeCell ref="B2:E2"/>
    <mergeCell ref="B3:E6"/>
    <mergeCell ref="D9:E9"/>
    <mergeCell ref="D11:E11"/>
    <mergeCell ref="D15:E15"/>
    <mergeCell ref="D13:D14"/>
    <mergeCell ref="E13:E14"/>
    <mergeCell ref="B9:C9"/>
    <mergeCell ref="B10:C10"/>
    <mergeCell ref="B11:C11"/>
    <mergeCell ref="B12:C14"/>
    <mergeCell ref="B15:C15"/>
    <mergeCell ref="B16:C16"/>
    <mergeCell ref="B8:C8"/>
    <mergeCell ref="D8:E8"/>
    <mergeCell ref="D16:E16"/>
    <mergeCell ref="D10:E10"/>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'Money Lost Calc.(Save)'!$A$2:$A$4</xm:f>
          </x14:formula1>
          <xm:sqref>D11</xm:sqref>
        </x14:dataValidation>
        <x14:dataValidation type="list" allowBlank="1" showInputMessage="1" showErrorMessage="1">
          <x14:formula1>
            <xm:f>'Money Lost Calc.(Save)'!$B$2:$B$14</xm:f>
          </x14:formula1>
          <xm:sqref>D13:D14</xm:sqref>
        </x14:dataValidation>
        <x14:dataValidation type="list" allowBlank="1" showInputMessage="1" showErrorMessage="1">
          <x14:formula1>
            <xm:f>'Money Lost Calc.(Save)'!$C$2:$C$7</xm:f>
          </x14:formula1>
          <xm:sqref>E13:E14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workbookViewId="0">
      <selection activeCell="E23" sqref="E23"/>
    </sheetView>
  </sheetViews>
  <sheetFormatPr defaultRowHeight="15" x14ac:dyDescent="0.25"/>
  <cols>
    <col min="1" max="1" width="10.140625" customWidth="1"/>
    <col min="2" max="2" width="20.7109375" bestFit="1" customWidth="1"/>
    <col min="3" max="9" width="10.140625" customWidth="1"/>
    <col min="10" max="15" width="11.140625" customWidth="1"/>
  </cols>
  <sheetData>
    <row r="1" spans="1:15" x14ac:dyDescent="0.25">
      <c r="A1" s="86" t="s">
        <v>197</v>
      </c>
      <c r="B1" s="87" t="s">
        <v>198</v>
      </c>
      <c r="C1" s="87" t="s">
        <v>199</v>
      </c>
      <c r="D1" s="87" t="s">
        <v>200</v>
      </c>
      <c r="E1" s="87" t="s">
        <v>201</v>
      </c>
      <c r="F1" s="87" t="s">
        <v>202</v>
      </c>
      <c r="G1" s="87" t="s">
        <v>203</v>
      </c>
      <c r="H1" s="87" t="s">
        <v>204</v>
      </c>
      <c r="I1" s="87" t="s">
        <v>205</v>
      </c>
      <c r="J1" s="87" t="s">
        <v>206</v>
      </c>
      <c r="K1" s="87" t="s">
        <v>207</v>
      </c>
      <c r="L1" s="87" t="s">
        <v>208</v>
      </c>
      <c r="M1" s="87" t="s">
        <v>209</v>
      </c>
      <c r="N1" s="87" t="s">
        <v>210</v>
      </c>
      <c r="O1" s="88" t="s">
        <v>211</v>
      </c>
    </row>
    <row r="2" spans="1:15" x14ac:dyDescent="0.25">
      <c r="A2" s="84" t="s">
        <v>111</v>
      </c>
      <c r="B2" s="83"/>
      <c r="C2" s="83"/>
      <c r="D2" s="83"/>
      <c r="E2" s="83"/>
      <c r="F2" s="83"/>
      <c r="G2" s="83"/>
      <c r="H2" s="83"/>
      <c r="I2" s="83"/>
      <c r="J2" s="83"/>
      <c r="K2" s="83"/>
      <c r="L2" s="83"/>
      <c r="M2" s="83"/>
      <c r="N2" s="83"/>
      <c r="O2" s="85"/>
    </row>
    <row r="3" spans="1:15" x14ac:dyDescent="0.25">
      <c r="A3" s="84"/>
      <c r="B3" s="83"/>
      <c r="C3" s="83" t="s">
        <v>89</v>
      </c>
      <c r="D3" s="83" t="s">
        <v>67</v>
      </c>
      <c r="E3" s="83" t="s">
        <v>68</v>
      </c>
      <c r="F3" s="83" t="s">
        <v>69</v>
      </c>
      <c r="G3" s="83" t="s">
        <v>70</v>
      </c>
      <c r="H3" s="83" t="s">
        <v>71</v>
      </c>
      <c r="I3" s="83" t="s">
        <v>72</v>
      </c>
      <c r="J3" s="83" t="s">
        <v>73</v>
      </c>
      <c r="K3" s="83" t="s">
        <v>74</v>
      </c>
      <c r="L3" s="83" t="s">
        <v>75</v>
      </c>
      <c r="M3" s="83" t="s">
        <v>76</v>
      </c>
      <c r="N3" s="83" t="s">
        <v>77</v>
      </c>
      <c r="O3" s="85" t="s">
        <v>78</v>
      </c>
    </row>
    <row r="4" spans="1:15" x14ac:dyDescent="0.25">
      <c r="A4" s="84">
        <v>1</v>
      </c>
      <c r="B4" s="83" t="s">
        <v>103</v>
      </c>
      <c r="C4" s="83">
        <v>39.645000000000003</v>
      </c>
      <c r="D4" s="83">
        <v>39.645000000000003</v>
      </c>
      <c r="E4" s="83">
        <v>39.645000000000003</v>
      </c>
      <c r="F4" s="83">
        <v>39.645000000000003</v>
      </c>
      <c r="G4" s="83">
        <v>39.645000000000003</v>
      </c>
      <c r="H4" s="83">
        <v>39.645000000000003</v>
      </c>
      <c r="I4" s="83">
        <v>39.645000000000003</v>
      </c>
      <c r="J4" s="83">
        <v>39.645000000000003</v>
      </c>
      <c r="K4" s="83">
        <v>39.645000000000003</v>
      </c>
      <c r="L4" s="83">
        <v>39.645000000000003</v>
      </c>
      <c r="M4" s="83">
        <v>39.645000000000003</v>
      </c>
      <c r="N4" s="83">
        <v>39.645000000000003</v>
      </c>
      <c r="O4" s="85">
        <v>39.645000000000003</v>
      </c>
    </row>
    <row r="5" spans="1:15" x14ac:dyDescent="0.25">
      <c r="A5" s="84">
        <v>2</v>
      </c>
      <c r="B5" s="83" t="s">
        <v>92</v>
      </c>
      <c r="C5" s="83">
        <v>39.645000000000003</v>
      </c>
      <c r="D5" s="83">
        <v>42.023000000000003</v>
      </c>
      <c r="E5" s="83">
        <v>45.386000000000003</v>
      </c>
      <c r="F5" s="83">
        <v>47.655000000000001</v>
      </c>
      <c r="G5" s="83">
        <v>50.037999999999997</v>
      </c>
      <c r="H5" s="83">
        <v>52.04</v>
      </c>
      <c r="I5" s="83">
        <v>54.12</v>
      </c>
      <c r="J5" s="83">
        <v>56.014000000000003</v>
      </c>
      <c r="K5" s="83">
        <v>57.835999999999999</v>
      </c>
      <c r="L5" s="83">
        <v>59.715000000000003</v>
      </c>
      <c r="M5" s="83">
        <v>61.267000000000003</v>
      </c>
      <c r="N5" s="83">
        <v>62.798999999999999</v>
      </c>
      <c r="O5" s="85">
        <v>64.369</v>
      </c>
    </row>
    <row r="6" spans="1:15" x14ac:dyDescent="0.25">
      <c r="A6" s="84">
        <v>3</v>
      </c>
      <c r="B6" s="83" t="s">
        <v>94</v>
      </c>
      <c r="C6" s="83">
        <v>41.232999999999997</v>
      </c>
      <c r="D6" s="83">
        <v>43.707000000000001</v>
      </c>
      <c r="E6" s="83">
        <v>47.203000000000003</v>
      </c>
      <c r="F6" s="83">
        <v>49.564</v>
      </c>
      <c r="G6" s="83">
        <v>52.040999999999997</v>
      </c>
      <c r="H6" s="83">
        <v>54.122</v>
      </c>
      <c r="I6" s="83">
        <v>56.286999999999999</v>
      </c>
      <c r="J6" s="83">
        <v>58.256999999999998</v>
      </c>
      <c r="K6" s="83">
        <v>60.15</v>
      </c>
      <c r="L6" s="83">
        <v>62.106000000000002</v>
      </c>
      <c r="M6" s="83">
        <v>63.720999999999997</v>
      </c>
      <c r="N6" s="83">
        <v>65.313000000000002</v>
      </c>
      <c r="O6" s="85">
        <v>66.947000000000003</v>
      </c>
    </row>
    <row r="7" spans="1:15" x14ac:dyDescent="0.25">
      <c r="A7" s="84">
        <v>4</v>
      </c>
      <c r="B7" s="83" t="s">
        <v>96</v>
      </c>
      <c r="C7" s="83" t="s">
        <v>91</v>
      </c>
      <c r="D7" s="83">
        <v>44.125</v>
      </c>
      <c r="E7" s="83">
        <v>47.655000000000001</v>
      </c>
      <c r="F7" s="83">
        <v>50.037999999999997</v>
      </c>
      <c r="G7" s="83">
        <v>52.539000000000001</v>
      </c>
      <c r="H7" s="83">
        <v>54.64</v>
      </c>
      <c r="I7" s="83">
        <v>56.826999999999998</v>
      </c>
      <c r="J7" s="83">
        <v>58.814999999999998</v>
      </c>
      <c r="K7" s="83">
        <v>60.726999999999997</v>
      </c>
      <c r="L7" s="83">
        <v>62.7</v>
      </c>
      <c r="M7" s="83">
        <v>64.331000000000003</v>
      </c>
      <c r="N7" s="83">
        <v>65.94</v>
      </c>
      <c r="O7" s="85">
        <v>67.588999999999999</v>
      </c>
    </row>
    <row r="8" spans="1:15" x14ac:dyDescent="0.25">
      <c r="A8" s="84">
        <v>5</v>
      </c>
      <c r="B8" s="83" t="s">
        <v>97</v>
      </c>
      <c r="C8" s="83" t="s">
        <v>91</v>
      </c>
      <c r="D8" s="83">
        <v>45.235999999999997</v>
      </c>
      <c r="E8" s="83">
        <v>48.854999999999997</v>
      </c>
      <c r="F8" s="83">
        <v>51.296999999999997</v>
      </c>
      <c r="G8" s="83">
        <v>53.863</v>
      </c>
      <c r="H8" s="83">
        <v>56.018000000000001</v>
      </c>
      <c r="I8" s="83">
        <v>58.256999999999998</v>
      </c>
      <c r="J8" s="83">
        <v>60.295999999999999</v>
      </c>
      <c r="K8" s="83">
        <v>62.255000000000003</v>
      </c>
      <c r="L8" s="83">
        <v>64.28</v>
      </c>
      <c r="M8" s="83">
        <v>65.950999999999993</v>
      </c>
      <c r="N8" s="83">
        <v>67.599999999999994</v>
      </c>
      <c r="O8" s="85">
        <v>69.289000000000001</v>
      </c>
    </row>
    <row r="9" spans="1:15" x14ac:dyDescent="0.25">
      <c r="A9" s="84">
        <v>6</v>
      </c>
      <c r="B9" s="83" t="s">
        <v>101</v>
      </c>
      <c r="C9" s="83" t="s">
        <v>91</v>
      </c>
      <c r="D9" s="83">
        <v>45.235999999999997</v>
      </c>
      <c r="E9" s="83">
        <v>48.854999999999997</v>
      </c>
      <c r="F9" s="83">
        <v>51.296999999999997</v>
      </c>
      <c r="G9" s="83">
        <v>53.863</v>
      </c>
      <c r="H9" s="83">
        <v>56.018000000000001</v>
      </c>
      <c r="I9" s="83">
        <v>58.256999999999998</v>
      </c>
      <c r="J9" s="83">
        <v>60.295999999999999</v>
      </c>
      <c r="K9" s="83">
        <v>62.256</v>
      </c>
      <c r="L9" s="83">
        <v>64.28</v>
      </c>
      <c r="M9" s="83">
        <v>65.950999999999993</v>
      </c>
      <c r="N9" s="83">
        <v>67.599999999999994</v>
      </c>
      <c r="O9" s="85">
        <v>69.289000000000001</v>
      </c>
    </row>
    <row r="10" spans="1:15" x14ac:dyDescent="0.25">
      <c r="A10" s="84">
        <v>7</v>
      </c>
      <c r="B10" s="83" t="s">
        <v>100</v>
      </c>
      <c r="C10" s="83" t="s">
        <v>91</v>
      </c>
      <c r="D10" s="83">
        <v>47.497</v>
      </c>
      <c r="E10" s="83">
        <v>51.296999999999997</v>
      </c>
      <c r="F10" s="83">
        <v>53.863</v>
      </c>
      <c r="G10" s="83">
        <v>56.555</v>
      </c>
      <c r="H10" s="83">
        <v>58.817</v>
      </c>
      <c r="I10" s="83">
        <v>61.170999999999999</v>
      </c>
      <c r="J10" s="83">
        <v>63.311</v>
      </c>
      <c r="K10" s="83">
        <v>65.37</v>
      </c>
      <c r="L10" s="83">
        <v>67.495000000000005</v>
      </c>
      <c r="M10" s="83">
        <v>69.248000000000005</v>
      </c>
      <c r="N10" s="83">
        <v>70.98</v>
      </c>
      <c r="O10" s="85">
        <v>72.754000000000005</v>
      </c>
    </row>
    <row r="11" spans="1:15" x14ac:dyDescent="0.25">
      <c r="A11" s="84">
        <v>8</v>
      </c>
      <c r="B11" s="83" t="s">
        <v>104</v>
      </c>
      <c r="C11" s="83">
        <v>47.573999999999998</v>
      </c>
      <c r="D11" s="83">
        <v>47.573999999999998</v>
      </c>
      <c r="E11" s="83">
        <v>47.573999999999998</v>
      </c>
      <c r="F11" s="83">
        <v>47.573999999999998</v>
      </c>
      <c r="G11" s="83">
        <v>47.573999999999998</v>
      </c>
      <c r="H11" s="83">
        <v>47.573999999999998</v>
      </c>
      <c r="I11" s="83">
        <v>47.573999999999998</v>
      </c>
      <c r="J11" s="83">
        <v>47.573999999999998</v>
      </c>
      <c r="K11" s="83">
        <v>47.573999999999998</v>
      </c>
      <c r="L11" s="83">
        <v>47.573999999999998</v>
      </c>
      <c r="M11" s="83">
        <v>47.573999999999998</v>
      </c>
      <c r="N11" s="83">
        <v>47.573999999999998</v>
      </c>
      <c r="O11" s="85">
        <v>47.573999999999998</v>
      </c>
    </row>
    <row r="12" spans="1:15" x14ac:dyDescent="0.25">
      <c r="A12" s="84">
        <v>9</v>
      </c>
      <c r="B12" s="83" t="s">
        <v>93</v>
      </c>
      <c r="C12" s="83">
        <v>47.573999999999998</v>
      </c>
      <c r="D12" s="83">
        <v>50.427999999999997</v>
      </c>
      <c r="E12" s="83">
        <v>54.463000000000001</v>
      </c>
      <c r="F12" s="83">
        <v>57.186</v>
      </c>
      <c r="G12" s="83">
        <v>60.045999999999999</v>
      </c>
      <c r="H12" s="83">
        <v>62.448</v>
      </c>
      <c r="I12" s="83">
        <v>64.944000000000003</v>
      </c>
      <c r="J12" s="83">
        <v>67.216999999999999</v>
      </c>
      <c r="K12" s="83">
        <v>69.403000000000006</v>
      </c>
      <c r="L12" s="83">
        <v>71.658000000000001</v>
      </c>
      <c r="M12" s="83">
        <v>73.52</v>
      </c>
      <c r="N12" s="83">
        <v>75.358999999999995</v>
      </c>
      <c r="O12" s="85">
        <v>77.242999999999995</v>
      </c>
    </row>
    <row r="13" spans="1:15" x14ac:dyDescent="0.25">
      <c r="A13" s="84">
        <v>10</v>
      </c>
      <c r="B13" s="83" t="s">
        <v>95</v>
      </c>
      <c r="C13" s="83">
        <v>49.48</v>
      </c>
      <c r="D13" s="83">
        <v>52.448</v>
      </c>
      <c r="E13" s="83">
        <v>56.643999999999998</v>
      </c>
      <c r="F13" s="83">
        <v>59.476999999999997</v>
      </c>
      <c r="G13" s="83">
        <v>62.448999999999998</v>
      </c>
      <c r="H13" s="83">
        <v>64.945999999999998</v>
      </c>
      <c r="I13" s="83">
        <v>67.543999999999997</v>
      </c>
      <c r="J13" s="83">
        <v>69.908000000000001</v>
      </c>
      <c r="K13" s="83">
        <v>72.180000000000007</v>
      </c>
      <c r="L13" s="83">
        <v>74.527000000000001</v>
      </c>
      <c r="M13" s="83">
        <v>76.465000000000003</v>
      </c>
      <c r="N13" s="83">
        <v>78.376000000000005</v>
      </c>
      <c r="O13" s="85">
        <v>80.335999999999999</v>
      </c>
    </row>
    <row r="14" spans="1:15" x14ac:dyDescent="0.25">
      <c r="A14" s="84">
        <v>11</v>
      </c>
      <c r="B14" s="83" t="s">
        <v>98</v>
      </c>
      <c r="C14" s="83" t="s">
        <v>91</v>
      </c>
      <c r="D14" s="83">
        <v>52.95</v>
      </c>
      <c r="E14" s="83">
        <v>57.186</v>
      </c>
      <c r="F14" s="83">
        <v>60.045999999999999</v>
      </c>
      <c r="G14" s="83">
        <v>63.046999999999997</v>
      </c>
      <c r="H14" s="83">
        <v>65.567999999999998</v>
      </c>
      <c r="I14" s="83">
        <v>68.191999999999993</v>
      </c>
      <c r="J14" s="83">
        <v>70.578000000000003</v>
      </c>
      <c r="K14" s="83">
        <v>72.872</v>
      </c>
      <c r="L14" s="83">
        <v>75.239999999999995</v>
      </c>
      <c r="M14" s="83">
        <v>77.197000000000003</v>
      </c>
      <c r="N14" s="83">
        <v>79.128</v>
      </c>
      <c r="O14" s="85">
        <v>81.106999999999999</v>
      </c>
    </row>
    <row r="15" spans="1:15" x14ac:dyDescent="0.25">
      <c r="A15" s="84">
        <v>12</v>
      </c>
      <c r="B15" s="83" t="s">
        <v>99</v>
      </c>
      <c r="C15" s="83" t="s">
        <v>91</v>
      </c>
      <c r="D15" s="83">
        <v>54.283000000000001</v>
      </c>
      <c r="E15" s="83">
        <v>58.625999999999998</v>
      </c>
      <c r="F15" s="83">
        <v>61.555999999999997</v>
      </c>
      <c r="G15" s="83">
        <v>64.635999999999996</v>
      </c>
      <c r="H15" s="83">
        <v>67.221999999999994</v>
      </c>
      <c r="I15" s="83">
        <v>69.908000000000001</v>
      </c>
      <c r="J15" s="83">
        <v>72.355000000000004</v>
      </c>
      <c r="K15" s="83">
        <v>74.706000000000003</v>
      </c>
      <c r="L15" s="83">
        <v>77.135999999999996</v>
      </c>
      <c r="M15" s="83">
        <v>79.141000000000005</v>
      </c>
      <c r="N15" s="83">
        <v>81.12</v>
      </c>
      <c r="O15" s="85">
        <v>83.147000000000006</v>
      </c>
    </row>
    <row r="16" spans="1:15" x14ac:dyDescent="0.25">
      <c r="A16" s="84">
        <v>13</v>
      </c>
      <c r="B16" s="83" t="s">
        <v>108</v>
      </c>
      <c r="C16" s="83" t="s">
        <v>91</v>
      </c>
      <c r="D16" s="83">
        <v>54.283000000000001</v>
      </c>
      <c r="E16" s="83">
        <v>58.625999999999998</v>
      </c>
      <c r="F16" s="83">
        <v>61.555999999999997</v>
      </c>
      <c r="G16" s="83">
        <v>64.635999999999996</v>
      </c>
      <c r="H16" s="83">
        <v>67.221999999999994</v>
      </c>
      <c r="I16" s="83">
        <v>69.908000000000001</v>
      </c>
      <c r="J16" s="83">
        <v>72.355000000000004</v>
      </c>
      <c r="K16" s="83">
        <v>74.706999999999994</v>
      </c>
      <c r="L16" s="83">
        <v>77.135999999999996</v>
      </c>
      <c r="M16" s="83">
        <v>79.141000000000005</v>
      </c>
      <c r="N16" s="83">
        <v>81.12</v>
      </c>
      <c r="O16" s="85">
        <v>83.147000000000006</v>
      </c>
    </row>
    <row r="17" spans="1:15" x14ac:dyDescent="0.25">
      <c r="A17" s="84">
        <v>14</v>
      </c>
      <c r="B17" s="83" t="s">
        <v>107</v>
      </c>
      <c r="C17" s="83" t="s">
        <v>91</v>
      </c>
      <c r="D17" s="83">
        <v>56.996000000000002</v>
      </c>
      <c r="E17" s="83">
        <v>61.555999999999997</v>
      </c>
      <c r="F17" s="83">
        <v>64.635999999999996</v>
      </c>
      <c r="G17" s="83">
        <v>67.866</v>
      </c>
      <c r="H17" s="83">
        <v>70.58</v>
      </c>
      <c r="I17" s="83">
        <v>73.405000000000001</v>
      </c>
      <c r="J17" s="83">
        <v>75.972999999999999</v>
      </c>
      <c r="K17" s="83">
        <v>78.444000000000003</v>
      </c>
      <c r="L17" s="83">
        <v>80.994</v>
      </c>
      <c r="M17" s="83">
        <v>83.097999999999999</v>
      </c>
      <c r="N17" s="83">
        <v>85.176000000000002</v>
      </c>
      <c r="O17" s="85">
        <v>87.305000000000007</v>
      </c>
    </row>
    <row r="18" spans="1:15" x14ac:dyDescent="0.25">
      <c r="A18" s="84">
        <v>15</v>
      </c>
      <c r="B18" s="83" t="s">
        <v>109</v>
      </c>
      <c r="C18" s="83" t="s">
        <v>109</v>
      </c>
      <c r="D18" s="83" t="s">
        <v>109</v>
      </c>
      <c r="E18" s="83" t="s">
        <v>109</v>
      </c>
      <c r="F18" s="83" t="s">
        <v>109</v>
      </c>
      <c r="G18" s="83" t="s">
        <v>109</v>
      </c>
      <c r="H18" s="83" t="s">
        <v>109</v>
      </c>
      <c r="I18" s="83" t="s">
        <v>109</v>
      </c>
      <c r="J18" s="83" t="s">
        <v>109</v>
      </c>
      <c r="K18" s="83" t="s">
        <v>109</v>
      </c>
      <c r="L18" s="83" t="s">
        <v>109</v>
      </c>
      <c r="M18" s="83" t="s">
        <v>109</v>
      </c>
      <c r="N18" s="83" t="s">
        <v>109</v>
      </c>
      <c r="O18" s="85" t="s">
        <v>109</v>
      </c>
    </row>
    <row r="19" spans="1:15" x14ac:dyDescent="0.25">
      <c r="A19" s="89">
        <v>16</v>
      </c>
      <c r="B19" s="90"/>
      <c r="C19" s="90" t="s">
        <v>91</v>
      </c>
      <c r="D19" s="90" t="s">
        <v>91</v>
      </c>
      <c r="E19" s="90" t="s">
        <v>91</v>
      </c>
      <c r="F19" s="90" t="s">
        <v>91</v>
      </c>
      <c r="G19" s="90" t="s">
        <v>91</v>
      </c>
      <c r="H19" s="90" t="s">
        <v>91</v>
      </c>
      <c r="I19" s="90" t="s">
        <v>91</v>
      </c>
      <c r="J19" s="90" t="s">
        <v>91</v>
      </c>
      <c r="K19" s="90" t="s">
        <v>91</v>
      </c>
      <c r="L19" s="90" t="s">
        <v>91</v>
      </c>
      <c r="M19" s="90" t="s">
        <v>91</v>
      </c>
      <c r="N19" s="90" t="s">
        <v>91</v>
      </c>
      <c r="O19" s="91" t="s">
        <v>91</v>
      </c>
    </row>
  </sheetData>
  <pageMargins left="0.25" right="0.25" top="0.75" bottom="0.75" header="0.3" footer="0.3"/>
  <pageSetup scale="8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NUHW to UNAC Conversion</vt:lpstr>
      <vt:lpstr>UNAC-UHCP</vt:lpstr>
      <vt:lpstr>Conv. Calc.(Save)</vt:lpstr>
      <vt:lpstr>UNAC Calc.(Save)</vt:lpstr>
      <vt:lpstr>Money Lost Calc.(Save)</vt:lpstr>
      <vt:lpstr>NUHW Money Lost</vt:lpstr>
      <vt:lpstr>Sheet1</vt:lpstr>
      <vt:lpstr>Sheet2</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Hayes</dc:creator>
  <cp:lastModifiedBy>Jeff Rogers</cp:lastModifiedBy>
  <cp:lastPrinted>2015-06-19T23:07:46Z</cp:lastPrinted>
  <dcterms:created xsi:type="dcterms:W3CDTF">2014-09-19T21:46:46Z</dcterms:created>
  <dcterms:modified xsi:type="dcterms:W3CDTF">2015-06-29T19:09:36Z</dcterms:modified>
</cp:coreProperties>
</file>